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Batteries" sheetId="1" r:id="rId1"/>
    <sheet name="Small Batteries" sheetId="2" r:id="rId2"/>
    <sheet name="Chemistries" sheetId="3" r:id="rId3"/>
    <sheet name="Sheet1" sheetId="4" r:id="rId4"/>
  </sheets>
  <definedNames>
    <definedName name="AverageSpeed">#REF!</definedName>
    <definedName name="BatteryLength">#REF!</definedName>
    <definedName name="BatteryWeight">#REF!</definedName>
    <definedName name="BatteryWidth">#REF!</definedName>
    <definedName name="Exchange">'Batteries'!$D$3</definedName>
    <definedName name="ExpectedDistance">#REF!</definedName>
    <definedName name="PackVoltage">'Batteries'!$D$1</definedName>
    <definedName name="TerrainFactor">#REF!</definedName>
    <definedName name="TrafficFactor">#REF!</definedName>
    <definedName name="VehicleEnergyConsumption">'Batteries'!$D$2</definedName>
  </definedNames>
  <calcPr fullCalcOnLoad="1"/>
</workbook>
</file>

<file path=xl/comments1.xml><?xml version="1.0" encoding="utf-8"?>
<comments xmlns="http://schemas.openxmlformats.org/spreadsheetml/2006/main">
  <authors>
    <author/>
  </authors>
  <commentList>
    <comment ref="H4" authorId="0">
      <text>
        <r>
          <rPr>
            <sz val="10"/>
            <rFont val="Arial"/>
            <family val="0"/>
          </rPr>
          <t xml:space="preserve">All measurements adjusted to 20hr capacity
</t>
        </r>
      </text>
    </comment>
    <comment ref="K4" authorId="0">
      <text>
        <r>
          <rPr>
            <sz val="10"/>
            <rFont val="Arial"/>
            <family val="0"/>
          </rPr>
          <t>@ 80% Depth of Discharge (DOD)</t>
        </r>
      </text>
    </comment>
    <comment ref="X4" authorId="0">
      <text>
        <r>
          <rPr>
            <sz val="10"/>
            <rFont val="Arial"/>
            <family val="0"/>
          </rPr>
          <t xml:space="preserve">Expected range to 50% DOD
</t>
        </r>
      </text>
    </comment>
    <comment ref="J5" authorId="0">
      <text>
        <r>
          <rPr>
            <sz val="10"/>
            <rFont val="Arial"/>
            <family val="0"/>
          </rPr>
          <t xml:space="preserve">oct 26 Andrew - Power Battery - Burnaby - 1 800 414 5559 
190CAD </t>
        </r>
      </text>
    </comment>
    <comment ref="J6" authorId="0">
      <text>
        <r>
          <rPr>
            <sz val="10"/>
            <rFont val="Arial"/>
            <family val="0"/>
          </rPr>
          <t>Sprok:
Price from Gorge Auto</t>
        </r>
      </text>
    </comment>
    <comment ref="H7" authorId="0">
      <text>
        <r>
          <rPr>
            <sz val="10"/>
            <rFont val="Arial"/>
            <family val="0"/>
          </rPr>
          <t xml:space="preserve">Published rate is 40Ah 10 hr rate
</t>
        </r>
      </text>
    </comment>
    <comment ref="J8" authorId="0">
      <text>
        <r>
          <rPr>
            <sz val="10"/>
            <rFont val="Arial"/>
            <family val="0"/>
          </rPr>
          <t xml:space="preserve">oct 26 Andrew - Power Battery - Burnaby - 1 800 414 5559 
190CAD
</t>
        </r>
      </text>
    </comment>
    <comment ref="J9" authorId="0">
      <text>
        <r>
          <rPr>
            <sz val="10"/>
            <rFont val="Arial"/>
            <family val="0"/>
          </rPr>
          <t xml:space="preserve">oct 26 Andrew - Power Battery - Burnaby - 1 800 414 5559 
160CAD
 </t>
        </r>
      </text>
    </comment>
    <comment ref="B10" authorId="0">
      <text>
        <r>
          <rPr>
            <sz val="10"/>
            <rFont val="Arial"/>
            <family val="0"/>
          </rPr>
          <t xml:space="preserve">These are a new battery, not listed yet.
</t>
        </r>
      </text>
    </comment>
    <comment ref="J10" authorId="0">
      <text>
        <r>
          <rPr>
            <sz val="10"/>
            <rFont val="Arial"/>
            <family val="0"/>
          </rPr>
          <t xml:space="preserve">oct 26 Andrew - Power Battery - Burnaby - 1 800 414 5559 
133CAD
</t>
        </r>
      </text>
    </comment>
    <comment ref="J11" authorId="0">
      <text>
        <r>
          <rPr>
            <sz val="10"/>
            <rFont val="Arial"/>
            <family val="0"/>
          </rPr>
          <t xml:space="preserve">Guess
</t>
        </r>
      </text>
    </comment>
    <comment ref="J12" authorId="0">
      <text>
        <r>
          <rPr>
            <sz val="10"/>
            <rFont val="Arial"/>
            <family val="0"/>
          </rPr>
          <t xml:space="preserve">Priced by CDNova (Burnaby)  $165 CDN Nov 23, 2004
</t>
        </r>
      </text>
    </comment>
    <comment ref="J24" authorId="0">
      <text>
        <r>
          <rPr>
            <sz val="10"/>
            <rFont val="Arial"/>
            <family val="0"/>
          </rPr>
          <t xml:space="preserve">Prive from Keith Van Sickle from the EV List
</t>
        </r>
      </text>
    </comment>
    <comment ref="J31" authorId="0">
      <text>
        <r>
          <rPr>
            <sz val="10"/>
            <rFont val="Arial"/>
            <family val="0"/>
          </rPr>
          <t xml:space="preserve">Sprok:
Price from Optima dealer March 9, 2004
</t>
        </r>
      </text>
    </comment>
    <comment ref="J39" authorId="0">
      <text>
        <r>
          <rPr>
            <sz val="10"/>
            <rFont val="Arial"/>
            <family val="0"/>
          </rPr>
          <t xml:space="preserve">362 FOB S Korea
</t>
        </r>
      </text>
    </comment>
    <comment ref="B41" authorId="0">
      <text>
        <r>
          <rPr>
            <sz val="10"/>
            <rFont val="Arial"/>
            <family val="0"/>
          </rPr>
          <t xml:space="preserve">John Pullen:  I would tread with caution - the Three Circles batteries had some significant problems that the original Evercells did not, both in making rated capacity and in makign rated current. I'd be happy to see data that showed these issues have been resolved, but until such data is presented...
</t>
        </r>
      </text>
    </comment>
  </commentList>
</comments>
</file>

<file path=xl/comments2.xml><?xml version="1.0" encoding="utf-8"?>
<comments xmlns="http://schemas.openxmlformats.org/spreadsheetml/2006/main">
  <authors>
    <author/>
  </authors>
  <commentList>
    <comment ref="K2" authorId="0">
      <text>
        <r>
          <rPr>
            <sz val="10"/>
            <rFont val="Arial"/>
            <family val="0"/>
          </rPr>
          <t xml:space="preserve">bulk purchase of 100
</t>
        </r>
      </text>
    </comment>
  </commentList>
</comments>
</file>

<file path=xl/sharedStrings.xml><?xml version="1.0" encoding="utf-8"?>
<sst xmlns="http://schemas.openxmlformats.org/spreadsheetml/2006/main" count="242" uniqueCount="242">
  <si>
    <t>PackVoltage</t>
  </si>
  <si>
    <t>VehicleEnergy Consumption (kWh/km)</t>
  </si>
  <si>
    <t>Exchange rate</t>
  </si>
  <si>
    <t>Calculations</t>
  </si>
  <si>
    <t>Battery</t>
  </si>
  <si>
    <t>Web Site</t>
  </si>
  <si>
    <t>Chemistry</t>
  </si>
  <si>
    <t>V</t>
  </si>
  <si>
    <t>Weight (Kg)</t>
  </si>
  <si>
    <t>Volume (l)</t>
  </si>
  <si>
    <t xml:space="preserve"> </t>
  </si>
  <si>
    <t>Rate hours</t>
  </si>
  <si>
    <t xml:space="preserve">Unit Cost </t>
  </si>
  <si>
    <t>Life cycles</t>
  </si>
  <si>
    <t>Specific Power (W/kg)</t>
  </si>
  <si>
    <t>Power Density (W/l)</t>
  </si>
  <si>
    <t>Specific Energy (Wh/kg)</t>
  </si>
  <si>
    <t>Energy Density (Wh/l)</t>
  </si>
  <si>
    <t>Energy Cost
($/Wh)</t>
  </si>
  <si>
    <t>Energy Density (Wh/kg)</t>
  </si>
  <si>
    <t>Cells Req'd</t>
  </si>
  <si>
    <t>Total Weight (kg)</t>
  </si>
  <si>
    <t>Volume. Denisty</t>
  </si>
  <si>
    <t>Initial Cost ($)</t>
  </si>
  <si>
    <t>Rnge</t>
  </si>
  <si>
    <t>200,000km cost ($)</t>
  </si>
  <si>
    <t>Optima D34 (D750S)</t>
  </si>
  <si>
    <t xml:space="preserve"> </t>
  </si>
  <si>
    <t>AGM</t>
  </si>
  <si>
    <t>Excide Orbital 34XCD</t>
  </si>
  <si>
    <t>AGM</t>
  </si>
  <si>
    <t>Hawker Odyssey PC1200</t>
  </si>
  <si>
    <t>http://www.enersysreservepower.com/</t>
  </si>
  <si>
    <t>AGM</t>
  </si>
  <si>
    <t>Deka Intimidator 9A78DT</t>
  </si>
  <si>
    <t xml:space="preserve"> </t>
  </si>
  <si>
    <t>AGM</t>
  </si>
  <si>
    <t>Deka Dominator 8G24M</t>
  </si>
  <si>
    <t xml:space="preserve"> </t>
  </si>
  <si>
    <t>GEL</t>
  </si>
  <si>
    <t>Deka Dominator 8G34</t>
  </si>
  <si>
    <t xml:space="preserve"> </t>
  </si>
  <si>
    <t>GEL</t>
  </si>
  <si>
    <t>Optima D35</t>
  </si>
  <si>
    <t xml:space="preserve"> </t>
  </si>
  <si>
    <t>AGM</t>
  </si>
  <si>
    <t>Hawker G42EP</t>
  </si>
  <si>
    <t xml:space="preserve"> </t>
  </si>
  <si>
    <t>VRLA AGM</t>
  </si>
  <si>
    <t>Lifeline (Concorde) GPLU1T</t>
  </si>
  <si>
    <t>http://www.lifelinebatteries.com/marine.asp</t>
  </si>
  <si>
    <t>Hawker G26EPX</t>
  </si>
  <si>
    <t>(from Azure Dynamics)</t>
  </si>
  <si>
    <t>VRLA AGM</t>
  </si>
  <si>
    <t>Optima D51</t>
  </si>
  <si>
    <t xml:space="preserve"> </t>
  </si>
  <si>
    <t>AGM</t>
  </si>
  <si>
    <t>Modular Energy Devices 15-100</t>
  </si>
  <si>
    <t xml:space="preserve"> </t>
  </si>
  <si>
    <t>LiIon</t>
  </si>
  <si>
    <t>Advanced Battery</t>
  </si>
  <si>
    <t>LiPoly</t>
  </si>
  <si>
    <t>GAIA 250130470</t>
  </si>
  <si>
    <t xml:space="preserve"> </t>
  </si>
  <si>
    <t>LiIon</t>
  </si>
  <si>
    <t>ThunderSky LP-8581</t>
  </si>
  <si>
    <t xml:space="preserve"> </t>
  </si>
  <si>
    <t>CR-F-Li</t>
  </si>
  <si>
    <t>Avestor SE 48S70</t>
  </si>
  <si>
    <t xml:space="preserve"> </t>
  </si>
  <si>
    <t>LiIonPolymer</t>
  </si>
  <si>
    <t>Thundersky 7IMP116/215</t>
  </si>
  <si>
    <t>http://www.thunder-sky.com</t>
  </si>
  <si>
    <t>CR-F-Li</t>
  </si>
  <si>
    <t>Saft VL41M 2P3S</t>
  </si>
  <si>
    <t>www.saftbatteries.com</t>
  </si>
  <si>
    <t>LiIon</t>
  </si>
  <si>
    <t xml:space="preserve"> $-   </t>
  </si>
  <si>
    <t xml:space="preserve"> $-   </t>
  </si>
  <si>
    <t>Beta Zebra Z5-278-ML-64</t>
  </si>
  <si>
    <t xml:space="preserve"> </t>
  </si>
  <si>
    <t>NaCl-Ni</t>
  </si>
  <si>
    <t>Valence U Charge Group 27 (U1)</t>
  </si>
  <si>
    <t xml:space="preserve"> </t>
  </si>
  <si>
    <t>LiIon</t>
  </si>
  <si>
    <t>Saft NiMh</t>
  </si>
  <si>
    <t xml:space="preserve"> </t>
  </si>
  <si>
    <t>NiMh</t>
  </si>
  <si>
    <t>GMB 12v 80AH</t>
  </si>
  <si>
    <t xml:space="preserve"> </t>
  </si>
  <si>
    <t>NiMh</t>
  </si>
  <si>
    <t xml:space="preserve"> </t>
  </si>
  <si>
    <t>GMB 36v 10AH</t>
  </si>
  <si>
    <t xml:space="preserve"> </t>
  </si>
  <si>
    <t>NiMh</t>
  </si>
  <si>
    <t>Evercell MB80-12-8</t>
  </si>
  <si>
    <t xml:space="preserve"> </t>
  </si>
  <si>
    <t>NiZn</t>
  </si>
  <si>
    <t>Saft STM 5-100 MRE</t>
  </si>
  <si>
    <t xml:space="preserve"> </t>
  </si>
  <si>
    <t>NiCd</t>
  </si>
  <si>
    <t>GMB 12v 40AH</t>
  </si>
  <si>
    <t xml:space="preserve"> </t>
  </si>
  <si>
    <t>NiMh</t>
  </si>
  <si>
    <t>Optima D51</t>
  </si>
  <si>
    <t xml:space="preserve"> </t>
  </si>
  <si>
    <t>VRLA</t>
  </si>
  <si>
    <t>Trojan SG-50</t>
  </si>
  <si>
    <t>http://www.trojanbattery.com/</t>
  </si>
  <si>
    <t>Gel</t>
  </si>
  <si>
    <t>Trojan SG-30</t>
  </si>
  <si>
    <t>http://www.trojanbattery.com/</t>
  </si>
  <si>
    <t>Gel</t>
  </si>
  <si>
    <t>Trojan 22NF</t>
  </si>
  <si>
    <t>http://www.trojanbattery.com/</t>
  </si>
  <si>
    <t>Flooded</t>
  </si>
  <si>
    <t>Hawker G70EP</t>
  </si>
  <si>
    <t xml:space="preserve"> </t>
  </si>
  <si>
    <t>VRLA AGM</t>
  </si>
  <si>
    <t>Optima D31T</t>
  </si>
  <si>
    <t>http://www.optimabatteries.com/</t>
  </si>
  <si>
    <t>VRLA AGM</t>
  </si>
  <si>
    <t>Alcad VN48-6</t>
  </si>
  <si>
    <t xml:space="preserve"> </t>
  </si>
  <si>
    <t>NiCd</t>
  </si>
  <si>
    <t>ESMA Capacitors</t>
  </si>
  <si>
    <t xml:space="preserve"> </t>
  </si>
  <si>
    <t>Capacitors</t>
  </si>
  <si>
    <t>`</t>
  </si>
  <si>
    <t xml:space="preserve">Kokam </t>
  </si>
  <si>
    <t>http://www.kokam.com/english/product/battery_main.html</t>
  </si>
  <si>
    <t>LiIon Polymer</t>
  </si>
  <si>
    <t>ElectroVaya Powerpad 160</t>
  </si>
  <si>
    <t>http://www.electrovaya.com/product/powerpad_product.html</t>
  </si>
  <si>
    <t>LiIon Polymer</t>
  </si>
  <si>
    <t>American Tech Supply (Three Circles) M100-12-NZ</t>
  </si>
  <si>
    <t>http://www.americantechsupply.com/products/SBS-Ni-Zn.php</t>
  </si>
  <si>
    <t>NiZn</t>
  </si>
  <si>
    <t>Interstate DCS-33</t>
  </si>
  <si>
    <t>Splendid 100 Ah</t>
  </si>
  <si>
    <t xml:space="preserve"> </t>
  </si>
  <si>
    <t>LiIon</t>
  </si>
  <si>
    <t xml:space="preserve">Company </t>
  </si>
  <si>
    <t>Web</t>
  </si>
  <si>
    <t>Battery</t>
  </si>
  <si>
    <t>Chemistry</t>
  </si>
  <si>
    <t>Voltage</t>
  </si>
  <si>
    <t>Capacity (Ahr)</t>
  </si>
  <si>
    <t>Weight</t>
  </si>
  <si>
    <t>Rated Energy Density</t>
  </si>
  <si>
    <t>Size</t>
  </si>
  <si>
    <t>Cost</t>
  </si>
  <si>
    <t>Parallel Units for 200 Ahr</t>
  </si>
  <si>
    <t>Series Units for 312v</t>
  </si>
  <si>
    <t>Total Units</t>
  </si>
  <si>
    <t>Energy Cost ($/Wh)</t>
  </si>
  <si>
    <t>Total Cost
($)</t>
  </si>
  <si>
    <t>Energy Density (Wh/kg)</t>
  </si>
  <si>
    <t>Total Weight 
(kg)</t>
  </si>
  <si>
    <t>Powerstream</t>
  </si>
  <si>
    <t>http://www.powerstream.com/BPD.htm</t>
  </si>
  <si>
    <t>GM053759</t>
  </si>
  <si>
    <t>LiIonPolymer</t>
  </si>
  <si>
    <t>Powerstream</t>
  </si>
  <si>
    <t>http://www.powerstream.com/BPD.htm</t>
  </si>
  <si>
    <t>QNF25</t>
  </si>
  <si>
    <t>NiMH</t>
  </si>
  <si>
    <t>Saft</t>
  </si>
  <si>
    <t>http://www.saftbatteries.com/120-Techno/20-10_produit.asp?sSegment=&amp;sSegmentLien=&amp;sSecteurLien=&amp;secteur=&amp;Intitule_Produit=HEliion&amp;page=2</t>
  </si>
  <si>
    <t>VL45E</t>
  </si>
  <si>
    <t>LiIon</t>
  </si>
  <si>
    <t>Apple</t>
  </si>
  <si>
    <t>http://www.newertech.com/newer_bats.html</t>
  </si>
  <si>
    <t>7200mAh</t>
  </si>
  <si>
    <t>LiIon</t>
  </si>
  <si>
    <t>http://www.batteryspace.com/index.asp?PageAction=VIEWPROD&amp;ProdID=1086</t>
  </si>
  <si>
    <t>LiIon</t>
  </si>
  <si>
    <t>http://www.batteryspace.com/index.asp?PageAction=VIEWPROD&amp;ProdID=1143</t>
  </si>
  <si>
    <t>LiIon</t>
  </si>
  <si>
    <t>http://www.batteryspace.com/index.asp?PageAction=VIEWPROD&amp;ProdID=990</t>
  </si>
  <si>
    <t>LiIon</t>
  </si>
  <si>
    <t>BatterySpace</t>
  </si>
  <si>
    <t>http://www.batteryspace.com/</t>
  </si>
  <si>
    <t>NiMH</t>
  </si>
  <si>
    <t>BatterySpace</t>
  </si>
  <si>
    <t>http://www.batteryspace.com/</t>
  </si>
  <si>
    <t>http://batterydirect.com/products/specs_p.cfm</t>
  </si>
  <si>
    <t>LiIon</t>
  </si>
  <si>
    <t>Sony</t>
  </si>
  <si>
    <t>http://www.sony.net/SonyInfo/News/Press/200412/04-060E/</t>
  </si>
  <si>
    <t>18650G8</t>
  </si>
  <si>
    <t>LiIonPoly</t>
  </si>
  <si>
    <t>Cell Voltage</t>
  </si>
  <si>
    <t>Memory Effect</t>
  </si>
  <si>
    <t>Best Discharge Rate</t>
  </si>
  <si>
    <t>Peak Discharge Rate</t>
  </si>
  <si>
    <t>Optimal Operating Temp</t>
  </si>
  <si>
    <t>Energy Density</t>
  </si>
  <si>
    <t>Expected Life</t>
  </si>
  <si>
    <t>Cycle Life to 80% discharge</t>
  </si>
  <si>
    <t>Self Discharge/month</t>
  </si>
  <si>
    <t>Maintenance Required</t>
  </si>
  <si>
    <t>Fast Charge Time</t>
  </si>
  <si>
    <t>LiIon</t>
  </si>
  <si>
    <t>No</t>
  </si>
  <si>
    <t>1C</t>
  </si>
  <si>
    <t>2C</t>
  </si>
  <si>
    <t>110-160</t>
  </si>
  <si>
    <t>2 yr</t>
  </si>
  <si>
    <t>500-1000</t>
  </si>
  <si>
    <t>None</t>
  </si>
  <si>
    <t>2-4</t>
  </si>
  <si>
    <t>NiCd</t>
  </si>
  <si>
    <t>Yes</t>
  </si>
  <si>
    <t>1C</t>
  </si>
  <si>
    <t>20C</t>
  </si>
  <si>
    <t>45-80</t>
  </si>
  <si>
    <t>30-60days</t>
  </si>
  <si>
    <t>NiMH</t>
  </si>
  <si>
    <t>?</t>
  </si>
  <si>
    <t>0.5C</t>
  </si>
  <si>
    <t>5C</t>
  </si>
  <si>
    <t>60-120</t>
  </si>
  <si>
    <t>300-500</t>
  </si>
  <si>
    <t>60-90days</t>
  </si>
  <si>
    <t>2-4</t>
  </si>
  <si>
    <t>Flooded PbA</t>
  </si>
  <si>
    <t>0.2C</t>
  </si>
  <si>
    <t>5C</t>
  </si>
  <si>
    <t>30-50</t>
  </si>
  <si>
    <t>200-300</t>
  </si>
  <si>
    <t>3-6 months</t>
  </si>
  <si>
    <t>8-16</t>
  </si>
  <si>
    <t>VRLA AGM</t>
  </si>
  <si>
    <t>LiIon Polymer</t>
  </si>
  <si>
    <t>VRLA GEL</t>
  </si>
  <si>
    <t>Voltage</t>
  </si>
  <si>
    <t>Weight</t>
  </si>
  <si>
    <t>Cells Reqd</t>
  </si>
  <si>
    <t>Weight</t>
  </si>
  <si>
    <t>TS LiIon 100Ah</t>
  </si>
  <si>
    <t>UltrCap Maxwell 2.7kF</t>
  </si>
</sst>
</file>

<file path=xl/styles.xml><?xml version="1.0" encoding="utf-8"?>
<styleSheet xmlns="http://schemas.openxmlformats.org/spreadsheetml/2006/main">
  <numFmts count="1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0.0"/>
    <numFmt numFmtId="166" formatCode="0.00"/>
    <numFmt numFmtId="167" formatCode="#,##0_ ;\-#,##0\ "/>
    <numFmt numFmtId="168" formatCode="_-&quot;$&quot;* #,##0.00_-;\-&quot;$&quot;* #,##0.00_-;_-&quot;$&quot;* &quot;-&quot;??_-;_-@_-"/>
    <numFmt numFmtId="169" formatCode="0"/>
    <numFmt numFmtId="170" formatCode="_-&quot;$&quot;* #,##0_-;\-&quot;$&quot;* #,##0_-;_-&quot;$&quot;* &quot;-&quot;??_-;_-@_-"/>
    <numFmt numFmtId="171" formatCode="&quot;$&quot;#,##0"/>
    <numFmt numFmtId="172" formatCode="@"/>
    <numFmt numFmtId="173" formatCode="0%"/>
    <numFmt numFmtId="174" formatCode="DD. MMM"/>
  </numFmts>
  <fonts count="8">
    <font>
      <sz val="10"/>
      <name val="Arial"/>
      <family val="0"/>
    </font>
    <font>
      <sz val="10"/>
      <color indexed="8"/>
      <name val="Arial"/>
      <family val="0"/>
    </font>
    <font>
      <sz val="12"/>
      <color indexed="8"/>
      <name val="Arial"/>
      <family val="2"/>
    </font>
    <font>
      <b/>
      <sz val="10"/>
      <color indexed="8"/>
      <name val="Arial"/>
      <family val="2"/>
    </font>
    <font>
      <u val="single"/>
      <sz val="10"/>
      <color indexed="12"/>
      <name val="Arial"/>
      <family val="0"/>
    </font>
    <font>
      <sz val="10"/>
      <color indexed="13"/>
      <name val="Arial"/>
      <family val="0"/>
    </font>
    <font>
      <strike/>
      <sz val="10"/>
      <color indexed="8"/>
      <name val="Arial"/>
      <family val="2"/>
    </font>
    <font>
      <b/>
      <sz val="8"/>
      <name val="Arial"/>
      <family val="2"/>
    </font>
  </fonts>
  <fills count="5">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14"/>
        <bgColor indexed="64"/>
      </patternFill>
    </fill>
  </fills>
  <borders count="3">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164" fontId="1" fillId="0" borderId="0" xfId="0" applyAlignment="1">
      <alignment/>
    </xf>
    <xf numFmtId="165" fontId="1" fillId="0" borderId="0" xfId="0" applyAlignment="1">
      <alignment/>
    </xf>
    <xf numFmtId="164" fontId="1" fillId="0" borderId="0" xfId="0" applyAlignment="1">
      <alignment/>
    </xf>
    <xf numFmtId="166" fontId="1" fillId="2" borderId="0" xfId="0" applyAlignment="1">
      <alignment/>
    </xf>
    <xf numFmtId="164" fontId="1" fillId="2" borderId="0" xfId="0" applyAlignment="1">
      <alignment/>
    </xf>
    <xf numFmtId="167" fontId="1" fillId="0" borderId="0" xfId="0" applyAlignment="1">
      <alignment/>
    </xf>
    <xf numFmtId="168" fontId="1" fillId="0" borderId="0" xfId="0" applyAlignment="1">
      <alignment/>
    </xf>
    <xf numFmtId="164" fontId="2" fillId="2" borderId="1" xfId="0" applyAlignment="1">
      <alignment/>
    </xf>
    <xf numFmtId="164" fontId="2" fillId="2" borderId="2" xfId="0" applyAlignment="1">
      <alignment/>
    </xf>
    <xf numFmtId="164" fontId="3" fillId="0" borderId="0" xfId="0" applyAlignment="1">
      <alignment horizontal="center" wrapText="1"/>
    </xf>
    <xf numFmtId="165" fontId="3" fillId="0" borderId="0" xfId="0" applyAlignment="1">
      <alignment horizontal="center" wrapText="1"/>
    </xf>
    <xf numFmtId="166" fontId="3" fillId="2" borderId="0" xfId="0" applyAlignment="1">
      <alignment horizontal="center" wrapText="1"/>
    </xf>
    <xf numFmtId="164" fontId="3" fillId="2" borderId="0" xfId="0" applyAlignment="1">
      <alignment horizontal="center" wrapText="1"/>
    </xf>
    <xf numFmtId="164" fontId="1" fillId="3" borderId="0" xfId="0" applyAlignment="1">
      <alignment/>
    </xf>
    <xf numFmtId="164" fontId="4" fillId="3" borderId="0" xfId="0" applyAlignment="1">
      <alignment/>
    </xf>
    <xf numFmtId="165" fontId="1" fillId="3" borderId="0" xfId="0" applyAlignment="1">
      <alignment/>
    </xf>
    <xf numFmtId="164" fontId="1" fillId="3" borderId="0" xfId="0" applyAlignment="1">
      <alignment/>
    </xf>
    <xf numFmtId="169" fontId="1" fillId="3" borderId="0" xfId="0" applyAlignment="1">
      <alignment/>
    </xf>
    <xf numFmtId="169" fontId="1" fillId="2" borderId="0" xfId="0" applyAlignment="1">
      <alignment/>
    </xf>
    <xf numFmtId="170" fontId="1" fillId="2" borderId="0" xfId="0" applyAlignment="1">
      <alignment/>
    </xf>
    <xf numFmtId="167" fontId="1" fillId="3" borderId="0" xfId="0" applyAlignment="1">
      <alignment/>
    </xf>
    <xf numFmtId="168" fontId="1" fillId="3" borderId="0" xfId="0" applyAlignment="1">
      <alignment/>
    </xf>
    <xf numFmtId="164" fontId="5" fillId="3" borderId="0" xfId="0" applyAlignment="1">
      <alignment/>
    </xf>
    <xf numFmtId="164" fontId="1" fillId="4" borderId="0" xfId="0" applyAlignment="1">
      <alignment/>
    </xf>
    <xf numFmtId="165" fontId="1" fillId="4" borderId="0" xfId="0" applyAlignment="1">
      <alignment/>
    </xf>
    <xf numFmtId="164" fontId="1" fillId="4" borderId="0" xfId="0" applyAlignment="1">
      <alignment/>
    </xf>
    <xf numFmtId="166" fontId="1" fillId="4" borderId="0" xfId="0" applyAlignment="1">
      <alignment/>
    </xf>
    <xf numFmtId="169" fontId="1" fillId="4" borderId="0" xfId="0" applyAlignment="1">
      <alignment/>
    </xf>
    <xf numFmtId="170" fontId="1" fillId="4" borderId="0" xfId="0" applyAlignment="1">
      <alignment/>
    </xf>
    <xf numFmtId="164" fontId="4" fillId="0" borderId="0" xfId="0" applyAlignment="1">
      <alignment/>
    </xf>
    <xf numFmtId="164" fontId="5" fillId="0" borderId="0" xfId="0" applyAlignment="1">
      <alignment/>
    </xf>
    <xf numFmtId="169" fontId="1" fillId="0" borderId="0" xfId="0" applyAlignment="1">
      <alignment/>
    </xf>
    <xf numFmtId="164" fontId="6" fillId="0" borderId="0" xfId="0" applyAlignment="1">
      <alignment/>
    </xf>
    <xf numFmtId="169" fontId="6" fillId="0" borderId="0" xfId="0" applyAlignment="1">
      <alignment/>
    </xf>
    <xf numFmtId="164" fontId="3" fillId="0" borderId="0" xfId="0" applyAlignment="1">
      <alignment horizontal="center" wrapText="1"/>
    </xf>
    <xf numFmtId="171" fontId="3" fillId="2" borderId="0" xfId="0" applyAlignment="1">
      <alignment horizontal="center" wrapText="1"/>
    </xf>
    <xf numFmtId="169" fontId="3" fillId="2" borderId="0" xfId="0" applyAlignment="1">
      <alignment horizontal="center" wrapText="1"/>
    </xf>
    <xf numFmtId="164" fontId="1" fillId="2" borderId="0" xfId="0" applyAlignment="1">
      <alignment/>
    </xf>
    <xf numFmtId="171" fontId="1" fillId="2" borderId="0" xfId="0" applyAlignment="1">
      <alignment/>
    </xf>
    <xf numFmtId="172" fontId="3" fillId="0" borderId="0" xfId="0" applyAlignment="1">
      <alignment horizontal="center" wrapText="1"/>
    </xf>
    <xf numFmtId="164" fontId="1" fillId="0" borderId="0" xfId="0" applyAlignment="1">
      <alignment horizontal="right"/>
    </xf>
    <xf numFmtId="173" fontId="1" fillId="0" borderId="0" xfId="0" applyAlignment="1">
      <alignment/>
    </xf>
    <xf numFmtId="174" fontId="1" fillId="0" borderId="0" xfId="0"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CCFFCC"/>
      <rgbColor rgb="00FFFF00"/>
      <rgbColor rgb="000000FF"/>
      <rgbColor rgb="00FF0000"/>
      <rgbColor rgb="0000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B43"/>
  <sheetViews>
    <sheetView tabSelected="1" workbookViewId="0" topLeftCell="A1">
      <selection activeCell="A1" sqref="A1"/>
    </sheetView>
  </sheetViews>
  <sheetFormatPr defaultColWidth="11.421875" defaultRowHeight="12.75"/>
  <cols>
    <col min="1" max="1" width="3.00390625" style="0" customWidth="1"/>
    <col min="2" max="2" width="22.140625" style="0" customWidth="1"/>
    <col min="3" max="3" width="25.00390625" style="0" customWidth="1"/>
    <col min="4" max="4" width="6.421875" style="0" customWidth="1"/>
    <col min="5" max="5" width="5.00390625" style="0" customWidth="1"/>
    <col min="6" max="6" width="8.421875" style="0" customWidth="1"/>
    <col min="7" max="7" width="7.57421875" style="0" customWidth="1"/>
    <col min="8" max="8" width="9.00390625" style="0" customWidth="1"/>
    <col min="9" max="10" width="6.00390625" style="0" customWidth="1"/>
    <col min="11" max="11" width="7.00390625" style="0" customWidth="1"/>
    <col min="12" max="17" width="0" style="0" customWidth="1"/>
    <col min="18" max="18" width="7.00390625" style="0" customWidth="1"/>
    <col min="19" max="19" width="8.421875" style="0" customWidth="1"/>
    <col min="20" max="20" width="7.00390625" style="0" customWidth="1"/>
    <col min="21" max="21" width="7.7109375" style="0" customWidth="1"/>
    <col min="22" max="22" width="8.421875" style="0" customWidth="1"/>
    <col min="23" max="23" width="9.8515625" style="0" customWidth="1"/>
    <col min="24" max="24" width="6.421875" style="0" customWidth="1"/>
    <col min="25" max="25" width="10.421875" style="0" customWidth="1"/>
    <col min="26" max="28" width="11.28125" style="0" customWidth="1"/>
  </cols>
  <sheetData>
    <row r="1" spans="1:28" ht="12.75">
      <c r="A1" s="1"/>
      <c r="B1" s="1" t="s">
        <v>0</v>
      </c>
      <c r="C1" s="1"/>
      <c r="D1" s="1">
        <v>312</v>
      </c>
      <c r="E1" s="1"/>
      <c r="F1" s="1"/>
      <c r="G1" s="2">
        <f>9+5/16</f>
        <v>0</v>
      </c>
      <c r="H1" s="3">
        <f>G1*25.4</f>
        <v>0</v>
      </c>
      <c r="I1" s="1"/>
      <c r="J1" s="1"/>
      <c r="K1" s="1"/>
      <c r="L1" s="1"/>
      <c r="M1" s="1"/>
      <c r="N1" s="1"/>
      <c r="O1" s="1"/>
      <c r="P1" s="1"/>
      <c r="Q1" s="1"/>
      <c r="R1" s="4"/>
      <c r="S1" s="5"/>
      <c r="T1" s="5"/>
      <c r="U1" s="5"/>
      <c r="V1" s="5"/>
      <c r="W1" s="5"/>
      <c r="X1" s="5"/>
      <c r="Y1" s="5"/>
      <c r="Z1" s="6"/>
      <c r="AA1" s="7"/>
      <c r="AB1" s="7"/>
    </row>
    <row r="2" spans="1:28" ht="12.75">
      <c r="A2" s="1"/>
      <c r="B2" s="1" t="s">
        <v>1</v>
      </c>
      <c r="C2" s="1"/>
      <c r="D2" s="1">
        <v>180</v>
      </c>
      <c r="E2" s="1"/>
      <c r="F2" s="1"/>
      <c r="G2" s="2">
        <f>6+13/16</f>
        <v>0</v>
      </c>
      <c r="H2" s="3">
        <f>G2*25.4</f>
        <v>0</v>
      </c>
      <c r="I2" s="1"/>
      <c r="J2" s="3">
        <f>133*28*1.14</f>
        <v>0</v>
      </c>
      <c r="K2" s="1"/>
      <c r="L2" s="1"/>
      <c r="M2" s="1"/>
      <c r="N2" s="1"/>
      <c r="O2" s="1"/>
      <c r="P2" s="1"/>
      <c r="Q2" s="1"/>
      <c r="R2" s="4"/>
      <c r="S2" s="5"/>
      <c r="T2" s="5"/>
      <c r="U2" s="5"/>
      <c r="V2" s="5"/>
      <c r="W2" s="5"/>
      <c r="X2" s="5"/>
      <c r="Y2" s="5"/>
      <c r="Z2" s="6"/>
      <c r="AA2" s="7"/>
      <c r="AB2" s="7"/>
    </row>
    <row r="3" spans="1:28" ht="15">
      <c r="A3" s="1"/>
      <c r="B3" s="1" t="s">
        <v>2</v>
      </c>
      <c r="C3" s="1"/>
      <c r="D3" s="1">
        <v>0.8</v>
      </c>
      <c r="E3" s="1"/>
      <c r="F3" s="1"/>
      <c r="G3" s="2">
        <f>7+5/8</f>
        <v>0</v>
      </c>
      <c r="H3" s="3">
        <f>G3*25.4</f>
        <v>0</v>
      </c>
      <c r="I3" s="1"/>
      <c r="J3" s="1"/>
      <c r="K3" s="1"/>
      <c r="L3" s="1"/>
      <c r="M3" s="1"/>
      <c r="N3" s="1"/>
      <c r="O3" s="1"/>
      <c r="P3" s="1"/>
      <c r="Q3" s="1"/>
      <c r="R3" s="4"/>
      <c r="S3" s="8" t="s">
        <v>3</v>
      </c>
      <c r="T3" s="9"/>
      <c r="U3" s="9"/>
      <c r="V3" s="9"/>
      <c r="W3" s="9"/>
      <c r="X3" s="9"/>
      <c r="Y3" s="9"/>
      <c r="Z3" s="6"/>
      <c r="AA3" s="7"/>
      <c r="AB3" s="7"/>
    </row>
    <row r="4" spans="1:28" ht="306">
      <c r="A4" s="1"/>
      <c r="B4" s="10" t="s">
        <v>4</v>
      </c>
      <c r="C4" s="10" t="s">
        <v>5</v>
      </c>
      <c r="D4" s="10" t="s">
        <v>6</v>
      </c>
      <c r="E4" s="10" t="s">
        <v>7</v>
      </c>
      <c r="F4" s="10" t="s">
        <v>8</v>
      </c>
      <c r="G4" s="11" t="s">
        <v>9</v>
      </c>
      <c r="H4" s="10" t="s">
        <v>10</v>
      </c>
      <c r="I4" s="10" t="s">
        <v>11</v>
      </c>
      <c r="J4" s="10" t="s">
        <v>12</v>
      </c>
      <c r="K4" s="10" t="s">
        <v>13</v>
      </c>
      <c r="L4" s="1"/>
      <c r="M4" s="10" t="s">
        <v>14</v>
      </c>
      <c r="N4" s="10" t="s">
        <v>15</v>
      </c>
      <c r="O4" s="10" t="s">
        <v>16</v>
      </c>
      <c r="P4" s="10" t="s">
        <v>17</v>
      </c>
      <c r="Q4" s="1"/>
      <c r="R4" s="12" t="s">
        <v>18</v>
      </c>
      <c r="S4" s="13" t="s">
        <v>19</v>
      </c>
      <c r="T4" s="13" t="s">
        <v>20</v>
      </c>
      <c r="U4" s="13" t="s">
        <v>21</v>
      </c>
      <c r="V4" s="13" t="s">
        <v>22</v>
      </c>
      <c r="W4" s="13" t="s">
        <v>23</v>
      </c>
      <c r="X4" s="13" t="s">
        <v>24</v>
      </c>
      <c r="Y4" s="13" t="s">
        <v>25</v>
      </c>
      <c r="Z4" s="6"/>
      <c r="AA4" s="7"/>
      <c r="AB4" s="7"/>
    </row>
    <row r="5" spans="1:28" ht="12.75">
      <c r="A5" s="14">
        <v>1</v>
      </c>
      <c r="B5" s="14" t="s">
        <v>26</v>
      </c>
      <c r="C5" s="15" t="s">
        <v>27</v>
      </c>
      <c r="D5" s="14" t="s">
        <v>28</v>
      </c>
      <c r="E5" s="14">
        <v>12</v>
      </c>
      <c r="F5" s="14">
        <v>19.490000000000002</v>
      </c>
      <c r="G5" s="16">
        <f>(255*175*200)/1000000</f>
        <v>0</v>
      </c>
      <c r="H5" s="14">
        <v>55</v>
      </c>
      <c r="I5" s="14">
        <v>20</v>
      </c>
      <c r="J5" s="17">
        <f>190*Exchange</f>
        <v>0</v>
      </c>
      <c r="K5" s="14">
        <v>350</v>
      </c>
      <c r="L5" s="1"/>
      <c r="M5" s="1"/>
      <c r="N5" s="1"/>
      <c r="O5" s="18">
        <f>(H5*E5)/F5</f>
        <v>0</v>
      </c>
      <c r="P5" s="18">
        <f>(H5*E5)/G5</f>
        <v>0</v>
      </c>
      <c r="Q5" s="1"/>
      <c r="R5" s="4">
        <f>J5/(E5*H5)</f>
        <v>0</v>
      </c>
      <c r="S5" s="19">
        <f>(E5*H5)/F5</f>
        <v>0</v>
      </c>
      <c r="T5" s="19">
        <f>PackVoltage/E5</f>
        <v>0</v>
      </c>
      <c r="U5" s="19">
        <f>T5*F5</f>
        <v>0</v>
      </c>
      <c r="V5" s="4">
        <f>F5/G5</f>
        <v>0</v>
      </c>
      <c r="W5" s="20">
        <f>T5*J5</f>
        <v>0</v>
      </c>
      <c r="X5" s="19">
        <f>(H5*0.6*PackVoltage*0.5)/VehicleEnergyConsumption</f>
        <v>0</v>
      </c>
      <c r="Y5" s="20">
        <f>(200000/X5/K5)*W5</f>
        <v>0</v>
      </c>
      <c r="Z5" s="21"/>
      <c r="AA5" s="22"/>
      <c r="AB5" s="22"/>
    </row>
    <row r="6" spans="1:28" ht="12.75">
      <c r="A6" s="14">
        <v>1</v>
      </c>
      <c r="B6" s="14" t="s">
        <v>29</v>
      </c>
      <c r="C6" s="1"/>
      <c r="D6" s="14" t="s">
        <v>30</v>
      </c>
      <c r="E6" s="14">
        <v>12</v>
      </c>
      <c r="F6" s="14">
        <v>18.6</v>
      </c>
      <c r="G6" s="16">
        <f>(250*175*200)/1000000</f>
        <v>0</v>
      </c>
      <c r="H6" s="14">
        <v>50</v>
      </c>
      <c r="I6" s="23">
        <v>20</v>
      </c>
      <c r="J6" s="14">
        <v>120</v>
      </c>
      <c r="K6" s="14">
        <v>350</v>
      </c>
      <c r="L6" s="1"/>
      <c r="M6" s="1"/>
      <c r="N6" s="1"/>
      <c r="O6" s="1"/>
      <c r="P6" s="1"/>
      <c r="Q6" s="1"/>
      <c r="R6" s="4">
        <f>J6/(E6*H6)</f>
        <v>0</v>
      </c>
      <c r="S6" s="19">
        <f>(E6*H6)/F6</f>
        <v>0</v>
      </c>
      <c r="T6" s="19">
        <f>PackVoltage/E6</f>
        <v>0</v>
      </c>
      <c r="U6" s="19">
        <f>T6*F6</f>
        <v>0</v>
      </c>
      <c r="V6" s="4">
        <f>F6/G6</f>
        <v>0</v>
      </c>
      <c r="W6" s="20">
        <f>T6*J6</f>
        <v>0</v>
      </c>
      <c r="X6" s="19">
        <f>(H6*0.6*PackVoltage*0.5)/VehicleEnergyConsumption</f>
        <v>0</v>
      </c>
      <c r="Y6" s="20">
        <f>(200000/X6/K6)*W6</f>
        <v>0</v>
      </c>
      <c r="Z6" s="21"/>
      <c r="AA6" s="22"/>
      <c r="AB6" s="22"/>
    </row>
    <row r="7" spans="1:28" ht="12.75">
      <c r="A7" s="14">
        <v>1</v>
      </c>
      <c r="B7" s="14" t="s">
        <v>31</v>
      </c>
      <c r="C7" s="15" t="s">
        <v>32</v>
      </c>
      <c r="D7" s="14" t="s">
        <v>33</v>
      </c>
      <c r="E7" s="14">
        <v>12</v>
      </c>
      <c r="F7" s="14">
        <v>17.400000000000002</v>
      </c>
      <c r="G7" s="16">
        <f>(200*190*172)/1000000</f>
        <v>0</v>
      </c>
      <c r="H7" s="14">
        <v>44</v>
      </c>
      <c r="I7" s="14">
        <v>20</v>
      </c>
      <c r="J7" s="1"/>
      <c r="K7" s="14">
        <v>400</v>
      </c>
      <c r="L7" s="1"/>
      <c r="M7" s="1"/>
      <c r="N7" s="1"/>
      <c r="O7" s="18">
        <f>(H7*E7)/F7</f>
        <v>0</v>
      </c>
      <c r="P7" s="18">
        <f>(H7*E7)/G7</f>
        <v>0</v>
      </c>
      <c r="Q7" s="1"/>
      <c r="R7" s="4">
        <f>J7/(E7*H7)</f>
        <v>0</v>
      </c>
      <c r="S7" s="19">
        <f>(E7*H7)/F7</f>
        <v>0</v>
      </c>
      <c r="T7" s="19">
        <f>PackVoltage/E7</f>
        <v>0</v>
      </c>
      <c r="U7" s="19">
        <f>T7*F7</f>
        <v>0</v>
      </c>
      <c r="V7" s="4">
        <f>F7/G7</f>
        <v>0</v>
      </c>
      <c r="W7" s="20">
        <f>T7*J7</f>
        <v>0</v>
      </c>
      <c r="X7" s="19">
        <f>(H7*0.6*PackVoltage*0.5)/VehicleEnergyConsumption</f>
        <v>0</v>
      </c>
      <c r="Y7" s="20">
        <f>(200000/X7/K7)*W7</f>
        <v>0</v>
      </c>
      <c r="Z7" s="21"/>
      <c r="AA7" s="22"/>
      <c r="AB7" s="22"/>
    </row>
    <row r="8" spans="1:28" ht="12.75">
      <c r="A8" s="14">
        <v>1</v>
      </c>
      <c r="B8" s="14" t="s">
        <v>34</v>
      </c>
      <c r="C8" s="15" t="s">
        <v>35</v>
      </c>
      <c r="D8" s="14" t="s">
        <v>36</v>
      </c>
      <c r="E8" s="14">
        <v>12</v>
      </c>
      <c r="F8" s="14">
        <v>19.5</v>
      </c>
      <c r="G8" s="16">
        <f>(273*175*203)/1000000</f>
        <v>0</v>
      </c>
      <c r="H8" s="14">
        <v>55</v>
      </c>
      <c r="I8" s="14">
        <v>20</v>
      </c>
      <c r="J8" s="17">
        <f>190*Exchange</f>
        <v>0</v>
      </c>
      <c r="K8" s="1"/>
      <c r="L8" s="1"/>
      <c r="M8" s="1"/>
      <c r="N8" s="1"/>
      <c r="O8" s="18"/>
      <c r="P8" s="18"/>
      <c r="Q8" s="1"/>
      <c r="R8" s="4">
        <f>J8/(E8*H8)</f>
        <v>0</v>
      </c>
      <c r="S8" s="19">
        <f>(E8*H8)/F8</f>
        <v>0</v>
      </c>
      <c r="T8" s="19">
        <f>PackVoltage/E8</f>
        <v>0</v>
      </c>
      <c r="U8" s="19">
        <f>T8*F8</f>
        <v>0</v>
      </c>
      <c r="V8" s="4">
        <f>F8/G8</f>
        <v>0</v>
      </c>
      <c r="W8" s="20">
        <f>T8*J8</f>
        <v>0</v>
      </c>
      <c r="X8" s="19">
        <f>(H8*0.6*PackVoltage*0.5)/VehicleEnergyConsumption</f>
        <v>0</v>
      </c>
      <c r="Y8" s="20">
        <f>(200000/X8/K8)*W8</f>
        <v>0</v>
      </c>
      <c r="Z8" s="21"/>
      <c r="AA8" s="22"/>
      <c r="AB8" s="22"/>
    </row>
    <row r="9" spans="1:28" ht="12.75">
      <c r="A9" s="14">
        <v>1</v>
      </c>
      <c r="B9" s="14" t="s">
        <v>37</v>
      </c>
      <c r="C9" s="15" t="s">
        <v>38</v>
      </c>
      <c r="D9" s="14" t="s">
        <v>39</v>
      </c>
      <c r="E9" s="14">
        <v>12</v>
      </c>
      <c r="F9" s="14">
        <v>24.3</v>
      </c>
      <c r="G9" s="16">
        <f>(260*173*225)/1000000</f>
        <v>0</v>
      </c>
      <c r="H9" s="14">
        <v>74</v>
      </c>
      <c r="I9" s="14">
        <v>20</v>
      </c>
      <c r="J9" s="17">
        <f>160*Exchange</f>
        <v>0</v>
      </c>
      <c r="K9" s="14">
        <v>600</v>
      </c>
      <c r="L9" s="1"/>
      <c r="M9" s="1"/>
      <c r="N9" s="1"/>
      <c r="O9" s="1"/>
      <c r="P9" s="1"/>
      <c r="Q9" s="1"/>
      <c r="R9" s="4">
        <f>J9/(E9*H9)</f>
        <v>0</v>
      </c>
      <c r="S9" s="19">
        <f>(E9*H9)/F9</f>
        <v>0</v>
      </c>
      <c r="T9" s="19">
        <f>PackVoltage/E9</f>
        <v>0</v>
      </c>
      <c r="U9" s="19">
        <f>T9*F9</f>
        <v>0</v>
      </c>
      <c r="V9" s="4">
        <f>F9/G9</f>
        <v>0</v>
      </c>
      <c r="W9" s="20">
        <f>T9*J9</f>
        <v>0</v>
      </c>
      <c r="X9" s="19">
        <f>(H9*0.6*PackVoltage*0.5)/VehicleEnergyConsumption</f>
        <v>0</v>
      </c>
      <c r="Y9" s="20">
        <f>(200000/X9/K9)*W9</f>
        <v>0</v>
      </c>
      <c r="Z9" s="21"/>
      <c r="AA9" s="22"/>
      <c r="AB9" s="22"/>
    </row>
    <row r="10" spans="1:28" ht="12.75">
      <c r="A10" s="24">
        <v>1</v>
      </c>
      <c r="B10" s="24" t="s">
        <v>40</v>
      </c>
      <c r="C10" s="24" t="s">
        <v>41</v>
      </c>
      <c r="D10" s="24" t="s">
        <v>42</v>
      </c>
      <c r="E10" s="24">
        <v>12</v>
      </c>
      <c r="F10" s="24">
        <v>19.3</v>
      </c>
      <c r="G10" s="25">
        <f>(260*170*178)/1000000</f>
        <v>0</v>
      </c>
      <c r="H10" s="24">
        <v>60</v>
      </c>
      <c r="I10" s="24">
        <v>20</v>
      </c>
      <c r="J10" s="26">
        <f>133*Exchange</f>
        <v>0</v>
      </c>
      <c r="K10" s="24">
        <v>600</v>
      </c>
      <c r="L10" s="1"/>
      <c r="M10" s="1"/>
      <c r="N10" s="1"/>
      <c r="O10" s="1"/>
      <c r="P10" s="1"/>
      <c r="Q10" s="1"/>
      <c r="R10" s="27">
        <f>J10/(E10*H10)</f>
        <v>0</v>
      </c>
      <c r="S10" s="28">
        <f>(E10*H10)/F10</f>
        <v>0</v>
      </c>
      <c r="T10" s="28">
        <f>PackVoltage/E10</f>
        <v>0</v>
      </c>
      <c r="U10" s="28">
        <f>T10*F10</f>
        <v>0</v>
      </c>
      <c r="V10" s="27">
        <f>F10/G10</f>
        <v>0</v>
      </c>
      <c r="W10" s="29">
        <f>T10*J10</f>
        <v>0</v>
      </c>
      <c r="X10" s="28">
        <f>(H10*0.6*PackVoltage*0.5)/VehicleEnergyConsumption</f>
        <v>0</v>
      </c>
      <c r="Y10" s="29">
        <f>(200000/X10/K10)*W10</f>
        <v>0</v>
      </c>
      <c r="Z10" s="6"/>
      <c r="AA10" s="7"/>
      <c r="AB10" s="7"/>
    </row>
    <row r="11" spans="1:28" ht="12.75">
      <c r="A11" s="14">
        <v>1</v>
      </c>
      <c r="B11" s="14" t="s">
        <v>43</v>
      </c>
      <c r="C11" s="15" t="s">
        <v>44</v>
      </c>
      <c r="D11" s="14" t="s">
        <v>45</v>
      </c>
      <c r="E11" s="14">
        <v>12</v>
      </c>
      <c r="F11" s="14">
        <v>16.5</v>
      </c>
      <c r="G11" s="16">
        <f>(254*175*200)/1000000</f>
        <v>0</v>
      </c>
      <c r="H11" s="14">
        <v>48</v>
      </c>
      <c r="I11" s="14">
        <v>20</v>
      </c>
      <c r="J11" s="14">
        <v>150</v>
      </c>
      <c r="K11" s="14">
        <v>350</v>
      </c>
      <c r="L11" s="1"/>
      <c r="M11" s="1"/>
      <c r="N11" s="1"/>
      <c r="O11" s="18"/>
      <c r="P11" s="18"/>
      <c r="Q11" s="1"/>
      <c r="R11" s="4">
        <f>J11/(E11*H11)</f>
        <v>0</v>
      </c>
      <c r="S11" s="19">
        <f>(E11*H11)/F11</f>
        <v>0</v>
      </c>
      <c r="T11" s="19">
        <f>PackVoltage/E11</f>
        <v>0</v>
      </c>
      <c r="U11" s="19">
        <f>T11*F11</f>
        <v>0</v>
      </c>
      <c r="V11" s="4">
        <f>F11/G11</f>
        <v>0</v>
      </c>
      <c r="W11" s="20">
        <f>T11*J11</f>
        <v>0</v>
      </c>
      <c r="X11" s="19">
        <f>(H11*0.6*PackVoltage*0.5)/VehicleEnergyConsumption</f>
        <v>0</v>
      </c>
      <c r="Y11" s="20">
        <f>(200000/X11/K11)*W11</f>
        <v>0</v>
      </c>
      <c r="Z11" s="21"/>
      <c r="AA11" s="22"/>
      <c r="AB11" s="22"/>
    </row>
    <row r="12" spans="1:28" ht="12.75">
      <c r="A12" s="1"/>
      <c r="B12" s="24" t="s">
        <v>46</v>
      </c>
      <c r="C12" s="24" t="s">
        <v>47</v>
      </c>
      <c r="D12" s="24" t="s">
        <v>48</v>
      </c>
      <c r="E12" s="24">
        <v>12</v>
      </c>
      <c r="F12" s="24">
        <v>15</v>
      </c>
      <c r="G12" s="26">
        <f>(197*165*170)/1000000</f>
        <v>0</v>
      </c>
      <c r="H12" s="24">
        <v>46</v>
      </c>
      <c r="I12" s="24">
        <v>10</v>
      </c>
      <c r="J12" s="26">
        <f>165*Exchange</f>
        <v>0</v>
      </c>
      <c r="K12" s="24">
        <v>450</v>
      </c>
      <c r="L12" s="1"/>
      <c r="M12" s="1"/>
      <c r="N12" s="1"/>
      <c r="O12" s="26">
        <f>(H12*E12)/F12</f>
        <v>0</v>
      </c>
      <c r="P12" s="26">
        <f>(H12*E12)/G12</f>
        <v>0</v>
      </c>
      <c r="Q12" s="1"/>
      <c r="R12" s="27">
        <f>J12/(E12*H12)</f>
        <v>0</v>
      </c>
      <c r="S12" s="28">
        <f>(E12*H12)/F12</f>
        <v>0</v>
      </c>
      <c r="T12" s="28">
        <f>PackVoltage/E12</f>
        <v>0</v>
      </c>
      <c r="U12" s="28">
        <f>T12*F12</f>
        <v>0</v>
      </c>
      <c r="V12" s="27">
        <f>F12/G12</f>
        <v>0</v>
      </c>
      <c r="W12" s="29">
        <f>T12*J12</f>
        <v>0</v>
      </c>
      <c r="X12" s="28">
        <f>(H12*0.6*PackVoltage*0.5)/VehicleEnergyConsumption</f>
        <v>0</v>
      </c>
      <c r="Y12" s="29">
        <f>(200000/X12/K12)*W12</f>
        <v>0</v>
      </c>
      <c r="Z12" s="6"/>
      <c r="AA12" s="7"/>
      <c r="AB12" s="7"/>
    </row>
    <row r="13" spans="1:28" ht="12.75">
      <c r="A13" s="1"/>
      <c r="B13" s="14" t="s">
        <v>49</v>
      </c>
      <c r="C13" s="14" t="s">
        <v>50</v>
      </c>
      <c r="D13" s="1"/>
      <c r="E13" s="14">
        <v>12</v>
      </c>
      <c r="F13" s="14">
        <v>10.9</v>
      </c>
      <c r="G13" s="17">
        <f>(196*132*175)/1000000</f>
        <v>0</v>
      </c>
      <c r="H13" s="14">
        <v>33</v>
      </c>
      <c r="I13" s="14">
        <v>20</v>
      </c>
      <c r="J13" s="1"/>
      <c r="K13" s="1"/>
      <c r="L13" s="1"/>
      <c r="M13" s="1"/>
      <c r="N13" s="1"/>
      <c r="O13" s="1"/>
      <c r="P13" s="1"/>
      <c r="Q13" s="1"/>
      <c r="R13" s="4">
        <f>J13/(E13*H13)</f>
        <v>0</v>
      </c>
      <c r="S13" s="19">
        <f>(E13*H13)/F13</f>
        <v>0</v>
      </c>
      <c r="T13" s="19">
        <f>PackVoltage/E13</f>
        <v>0</v>
      </c>
      <c r="U13" s="19">
        <f>T13*F13</f>
        <v>0</v>
      </c>
      <c r="V13" s="4">
        <f>F13/G13</f>
        <v>0</v>
      </c>
      <c r="W13" s="20">
        <f>T13*J13</f>
        <v>0</v>
      </c>
      <c r="X13" s="19">
        <f>(H13*0.6*PackVoltage*0.5)/VehicleEnergyConsumption</f>
        <v>0</v>
      </c>
      <c r="Y13" s="20">
        <f>(200000/X13/K13)*W13</f>
        <v>0</v>
      </c>
      <c r="Z13" s="6"/>
      <c r="AA13" s="7"/>
      <c r="AB13" s="7"/>
    </row>
    <row r="14" spans="1:28" ht="12.75">
      <c r="A14" s="1"/>
      <c r="B14" s="1" t="s">
        <v>51</v>
      </c>
      <c r="C14" s="1" t="s">
        <v>52</v>
      </c>
      <c r="D14" s="1" t="s">
        <v>53</v>
      </c>
      <c r="E14" s="1">
        <v>12</v>
      </c>
      <c r="F14" s="1">
        <v>10.8</v>
      </c>
      <c r="G14" s="3">
        <f>(169*180*128)/1000000</f>
        <v>0</v>
      </c>
      <c r="H14" s="1">
        <v>26</v>
      </c>
      <c r="I14" s="1">
        <v>10</v>
      </c>
      <c r="J14" s="1"/>
      <c r="K14" s="1"/>
      <c r="L14" s="1"/>
      <c r="M14" s="1"/>
      <c r="N14" s="1"/>
      <c r="O14" s="1"/>
      <c r="P14" s="1"/>
      <c r="Q14" s="1"/>
      <c r="R14" s="4">
        <f>J14/(E14*H14)</f>
        <v>0</v>
      </c>
      <c r="S14" s="19">
        <f>(E14*H14)/F14</f>
        <v>0</v>
      </c>
      <c r="T14" s="19">
        <f>PackVoltage/E14</f>
        <v>0</v>
      </c>
      <c r="U14" s="19">
        <f>T14*F14</f>
        <v>0</v>
      </c>
      <c r="V14" s="4">
        <f>F14/G14</f>
        <v>0</v>
      </c>
      <c r="W14" s="20">
        <f>T14*J14</f>
        <v>0</v>
      </c>
      <c r="X14" s="19">
        <f>(H14*0.6*PackVoltage*0.5)/VehicleEnergyConsumption</f>
        <v>0</v>
      </c>
      <c r="Y14" s="20">
        <f>(200000/X14/K14)*W14</f>
        <v>0</v>
      </c>
      <c r="Z14" s="6"/>
      <c r="AA14" s="7"/>
      <c r="AB14" s="7"/>
    </row>
    <row r="15" spans="1:28" ht="12.75">
      <c r="A15" s="1"/>
      <c r="B15" s="1" t="s">
        <v>54</v>
      </c>
      <c r="C15" s="1" t="s">
        <v>55</v>
      </c>
      <c r="D15" s="1" t="s">
        <v>56</v>
      </c>
      <c r="E15" s="1">
        <v>12</v>
      </c>
      <c r="F15" s="1">
        <v>11.8</v>
      </c>
      <c r="G15" s="3">
        <f>(237*130*230)/1000000</f>
        <v>0</v>
      </c>
      <c r="H15" s="1">
        <v>41</v>
      </c>
      <c r="I15" s="1">
        <v>20</v>
      </c>
      <c r="J15" s="1"/>
      <c r="K15" s="1">
        <v>350</v>
      </c>
      <c r="L15" s="1"/>
      <c r="M15" s="1"/>
      <c r="N15" s="1"/>
      <c r="O15" s="1"/>
      <c r="P15" s="1"/>
      <c r="Q15" s="1"/>
      <c r="R15" s="4">
        <f>J15/(E15*H15)</f>
        <v>0</v>
      </c>
      <c r="S15" s="4">
        <f>(E15*H15)/F15</f>
        <v>0</v>
      </c>
      <c r="T15" s="4">
        <f>PackVoltage/E15</f>
        <v>0</v>
      </c>
      <c r="U15" s="4">
        <f>T15*F15</f>
        <v>0</v>
      </c>
      <c r="V15" s="4">
        <f>F15/G15</f>
        <v>0</v>
      </c>
      <c r="W15" s="4">
        <f>T15*J15</f>
        <v>0</v>
      </c>
      <c r="X15" s="19">
        <f>(H15*0.6*PackVoltage*0.5)/VehicleEnergyConsumption</f>
        <v>0</v>
      </c>
      <c r="Y15" s="20">
        <f>(200000/X15/K15)*W15</f>
        <v>0</v>
      </c>
      <c r="Z15" s="6"/>
      <c r="AA15" s="7"/>
      <c r="AB15" s="7"/>
    </row>
    <row r="16" spans="1:28" ht="12.75">
      <c r="A16" s="1"/>
      <c r="B16" s="1" t="s">
        <v>57</v>
      </c>
      <c r="C16" s="30" t="s">
        <v>58</v>
      </c>
      <c r="D16" s="1" t="s">
        <v>59</v>
      </c>
      <c r="E16" s="1">
        <v>14.8</v>
      </c>
      <c r="F16" s="1">
        <v>11.2</v>
      </c>
      <c r="G16" s="2">
        <f>(304*83*264)/100000</f>
        <v>0</v>
      </c>
      <c r="H16" s="1">
        <v>100</v>
      </c>
      <c r="I16" s="1">
        <v>1</v>
      </c>
      <c r="J16" s="1">
        <v>2000</v>
      </c>
      <c r="K16" s="1">
        <v>500</v>
      </c>
      <c r="L16" s="1"/>
      <c r="M16" s="1"/>
      <c r="N16" s="1"/>
      <c r="O16" s="1"/>
      <c r="P16" s="1"/>
      <c r="Q16" s="1"/>
      <c r="R16" s="4">
        <f>J16/(E16*H16)</f>
        <v>0</v>
      </c>
      <c r="S16" s="19">
        <f>(E16*H16)/F16</f>
        <v>0</v>
      </c>
      <c r="T16" s="19">
        <f>PackVoltage/E16</f>
        <v>0</v>
      </c>
      <c r="U16" s="19">
        <f>T16*F16</f>
        <v>0</v>
      </c>
      <c r="V16" s="4">
        <f>F16/G16</f>
        <v>0</v>
      </c>
      <c r="W16" s="20">
        <f>T16*J16</f>
        <v>0</v>
      </c>
      <c r="X16" s="19">
        <f>(H16*0.6*PackVoltage*0.5)/VehicleEnergyConsumption</f>
        <v>0</v>
      </c>
      <c r="Y16" s="20">
        <f>(200000/X16/K16)*W16</f>
        <v>0</v>
      </c>
      <c r="Z16" s="6"/>
      <c r="AA16" s="7"/>
      <c r="AB16" s="7"/>
    </row>
    <row r="17" spans="1:28" ht="12.75">
      <c r="A17" s="1"/>
      <c r="B17" s="1" t="s">
        <v>60</v>
      </c>
      <c r="C17" s="1"/>
      <c r="D17" s="1" t="s">
        <v>61</v>
      </c>
      <c r="E17" s="1">
        <v>312</v>
      </c>
      <c r="F17" s="1">
        <v>390</v>
      </c>
      <c r="G17" s="1"/>
      <c r="H17" s="1">
        <v>180</v>
      </c>
      <c r="I17" s="1"/>
      <c r="J17" s="1"/>
      <c r="K17" s="1"/>
      <c r="L17" s="1"/>
      <c r="M17" s="1"/>
      <c r="N17" s="1"/>
      <c r="O17" s="1"/>
      <c r="P17" s="1"/>
      <c r="Q17" s="1"/>
      <c r="R17" s="4">
        <f>J17/(E17*H17)</f>
        <v>0</v>
      </c>
      <c r="S17" s="19">
        <f>(E17*H17)/F17</f>
        <v>0</v>
      </c>
      <c r="T17" s="19">
        <f>PackVoltage/E17</f>
        <v>0</v>
      </c>
      <c r="U17" s="19">
        <f>T17*F17</f>
        <v>0</v>
      </c>
      <c r="V17" s="4">
        <f>F17/G17</f>
        <v>0</v>
      </c>
      <c r="W17" s="20">
        <f>T17*J17</f>
        <v>0</v>
      </c>
      <c r="X17" s="19">
        <f>(H17*0.6*PackVoltage*0.5)/VehicleEnergyConsumption</f>
        <v>0</v>
      </c>
      <c r="Y17" s="20">
        <f>(200000/X17/K17)*W17</f>
        <v>0</v>
      </c>
      <c r="Z17" s="1"/>
      <c r="AA17" s="1"/>
      <c r="AB17" s="1"/>
    </row>
    <row r="18" spans="1:28" ht="12.75">
      <c r="A18" s="1"/>
      <c r="B18" s="1" t="s">
        <v>62</v>
      </c>
      <c r="C18" s="30" t="s">
        <v>63</v>
      </c>
      <c r="D18" s="1" t="s">
        <v>64</v>
      </c>
      <c r="E18" s="1">
        <v>46.8</v>
      </c>
      <c r="F18" s="1">
        <v>22.6</v>
      </c>
      <c r="G18" s="2">
        <f>(250*130*470)/1000000</f>
        <v>0</v>
      </c>
      <c r="H18" s="1">
        <v>60</v>
      </c>
      <c r="I18" s="1">
        <v>3</v>
      </c>
      <c r="J18" s="1"/>
      <c r="K18" s="1"/>
      <c r="L18" s="1"/>
      <c r="M18" s="1"/>
      <c r="N18" s="1"/>
      <c r="O18" s="1"/>
      <c r="P18" s="1"/>
      <c r="Q18" s="1"/>
      <c r="R18" s="4">
        <f>J18/(E18*H18)</f>
        <v>0</v>
      </c>
      <c r="S18" s="19">
        <f>(E18*H18)/F18</f>
        <v>0</v>
      </c>
      <c r="T18" s="19">
        <f>PackVoltage/E18</f>
        <v>0</v>
      </c>
      <c r="U18" s="19">
        <f>T18*F18</f>
        <v>0</v>
      </c>
      <c r="V18" s="4">
        <f>F18/G18</f>
        <v>0</v>
      </c>
      <c r="W18" s="20">
        <f>T18*J18</f>
        <v>0</v>
      </c>
      <c r="X18" s="19">
        <f>(H18*0.6*PackVoltage*0.5)/VehicleEnergyConsumption</f>
        <v>0</v>
      </c>
      <c r="Y18" s="20">
        <f>(200000/X18/K18)*W18</f>
        <v>0</v>
      </c>
      <c r="Z18" s="6"/>
      <c r="AA18" s="7"/>
      <c r="AB18" s="7"/>
    </row>
    <row r="19" spans="1:28" ht="12.75">
      <c r="A19" s="1"/>
      <c r="B19" s="1" t="s">
        <v>65</v>
      </c>
      <c r="C19" s="30" t="s">
        <v>66</v>
      </c>
      <c r="D19" s="1" t="s">
        <v>67</v>
      </c>
      <c r="E19" s="1">
        <v>3.6</v>
      </c>
      <c r="F19" s="1">
        <v>3</v>
      </c>
      <c r="G19" s="2">
        <f>(230*145*60)/1000000</f>
        <v>0</v>
      </c>
      <c r="H19" s="1">
        <v>100</v>
      </c>
      <c r="I19" s="31">
        <v>1</v>
      </c>
      <c r="J19" s="1">
        <v>162</v>
      </c>
      <c r="K19" s="1">
        <v>500</v>
      </c>
      <c r="L19" s="1"/>
      <c r="M19" s="1"/>
      <c r="N19" s="1"/>
      <c r="O19" s="3">
        <f>(H19*E19)/F19</f>
        <v>0</v>
      </c>
      <c r="P19" s="32">
        <f>(H19*E19)/G19</f>
        <v>0</v>
      </c>
      <c r="Q19" s="1"/>
      <c r="R19" s="4">
        <f>J19/(E19*H19)</f>
        <v>0</v>
      </c>
      <c r="S19" s="19">
        <f>(E19*H19)/F19</f>
        <v>0</v>
      </c>
      <c r="T19" s="19">
        <f>PackVoltage/E19</f>
        <v>0</v>
      </c>
      <c r="U19" s="19">
        <f>T19*F19</f>
        <v>0</v>
      </c>
      <c r="V19" s="4">
        <f>F19/G19</f>
        <v>0</v>
      </c>
      <c r="W19" s="20">
        <f>T19*J19</f>
        <v>0</v>
      </c>
      <c r="X19" s="19">
        <f>(H19*0.6*PackVoltage*0.5)/VehicleEnergyConsumption</f>
        <v>0</v>
      </c>
      <c r="Y19" s="20">
        <f>(200000/X19/K19)*W19</f>
        <v>0</v>
      </c>
      <c r="Z19" s="6"/>
      <c r="AA19" s="7"/>
      <c r="AB19" s="7"/>
    </row>
    <row r="20" spans="1:28" ht="12.75">
      <c r="A20" s="1"/>
      <c r="B20" s="1" t="s">
        <v>68</v>
      </c>
      <c r="C20" s="30" t="s">
        <v>69</v>
      </c>
      <c r="D20" s="1" t="s">
        <v>70</v>
      </c>
      <c r="E20" s="1">
        <v>48</v>
      </c>
      <c r="F20" s="1">
        <v>28.6</v>
      </c>
      <c r="G20" s="2">
        <f>(404*200*273)/1000000</f>
        <v>0</v>
      </c>
      <c r="H20" s="1">
        <v>70</v>
      </c>
      <c r="I20" s="1">
        <v>8</v>
      </c>
      <c r="J20" s="1"/>
      <c r="K20" s="1"/>
      <c r="L20" s="1"/>
      <c r="M20" s="1"/>
      <c r="N20" s="1"/>
      <c r="O20" s="1"/>
      <c r="P20" s="1"/>
      <c r="Q20" s="1"/>
      <c r="R20" s="4">
        <f>J20/(E20*H20)</f>
        <v>0</v>
      </c>
      <c r="S20" s="19">
        <f>(E20*H20)/F20</f>
        <v>0</v>
      </c>
      <c r="T20" s="19">
        <f>PackVoltage/E20</f>
        <v>0</v>
      </c>
      <c r="U20" s="19">
        <f>T20*F20</f>
        <v>0</v>
      </c>
      <c r="V20" s="4">
        <f>F20/G20</f>
        <v>0</v>
      </c>
      <c r="W20" s="20">
        <f>T20*J20</f>
        <v>0</v>
      </c>
      <c r="X20" s="19">
        <f>(H20*0.6*PackVoltage*0.5)/VehicleEnergyConsumption</f>
        <v>0</v>
      </c>
      <c r="Y20" s="20">
        <f>(200000/X20/K20)*W20</f>
        <v>0</v>
      </c>
      <c r="Z20" s="6"/>
      <c r="AA20" s="7"/>
      <c r="AB20" s="7"/>
    </row>
    <row r="21" spans="1:28" ht="12.75">
      <c r="A21" s="1"/>
      <c r="B21" s="1" t="s">
        <v>71</v>
      </c>
      <c r="C21" s="1" t="s">
        <v>72</v>
      </c>
      <c r="D21" s="1" t="s">
        <v>73</v>
      </c>
      <c r="E21" s="1">
        <v>24</v>
      </c>
      <c r="F21" s="1">
        <v>19.5</v>
      </c>
      <c r="G21" s="2">
        <f>(405*201*122)/1000000</f>
        <v>0</v>
      </c>
      <c r="I21" s="31">
        <v>1</v>
      </c>
      <c r="J21" s="1"/>
      <c r="K21" s="1">
        <v>1000</v>
      </c>
      <c r="L21" s="1"/>
      <c r="M21" s="1"/>
      <c r="N21" s="1"/>
      <c r="O21" s="1"/>
      <c r="P21" s="32"/>
      <c r="Q21" s="1"/>
      <c r="R21" s="4">
        <f>J21/(E21*H21)</f>
        <v>0</v>
      </c>
      <c r="S21" s="19">
        <f>(E21*H21)/F21</f>
        <v>0</v>
      </c>
      <c r="T21" s="19">
        <f>PackVoltage/E21</f>
        <v>0</v>
      </c>
      <c r="U21" s="19">
        <f>T21*F21</f>
        <v>0</v>
      </c>
      <c r="V21" s="4">
        <f>F21/G21</f>
        <v>0</v>
      </c>
      <c r="W21" s="20">
        <f>T21*J21</f>
        <v>0</v>
      </c>
      <c r="X21" s="19">
        <f>(H21*0.6*PackVoltage*0.5)/VehicleEnergyConsumption</f>
        <v>0</v>
      </c>
      <c r="Y21" s="20">
        <f>(200000/X21/K21)*W21</f>
        <v>0</v>
      </c>
      <c r="Z21" s="6"/>
      <c r="AA21" s="7"/>
      <c r="AB21" s="7"/>
    </row>
    <row r="22" spans="1:28" ht="12.75">
      <c r="A22" s="1"/>
      <c r="B22" s="1" t="s">
        <v>74</v>
      </c>
      <c r="C22" s="30" t="s">
        <v>75</v>
      </c>
      <c r="D22" s="1" t="s">
        <v>76</v>
      </c>
      <c r="E22" s="1">
        <v>10.8</v>
      </c>
      <c r="F22" s="1">
        <v>8</v>
      </c>
      <c r="G22" s="2">
        <v>5.7</v>
      </c>
      <c r="H22" s="1">
        <v>78</v>
      </c>
      <c r="I22" s="1">
        <v>3</v>
      </c>
      <c r="J22" s="1"/>
      <c r="K22" s="1">
        <v>1500</v>
      </c>
      <c r="L22" s="33">
        <v>0</v>
      </c>
      <c r="M22" s="33">
        <v>105</v>
      </c>
      <c r="N22" s="33">
        <v>31</v>
      </c>
      <c r="O22" s="34">
        <v>249</v>
      </c>
      <c r="P22" s="34">
        <v>1.41</v>
      </c>
      <c r="Q22" s="33" t="s">
        <v>77</v>
      </c>
      <c r="R22" s="4">
        <v>44</v>
      </c>
      <c r="S22" s="19" t="s">
        <v>78</v>
      </c>
      <c r="T22" s="19"/>
      <c r="U22" s="19"/>
      <c r="V22" s="4"/>
      <c r="W22" s="20">
        <f>T22*J22</f>
        <v>0</v>
      </c>
      <c r="X22" s="19">
        <f>(H22*0.6*PackVoltage*0.5)/VehicleEnergyConsumption</f>
        <v>0</v>
      </c>
      <c r="Y22" s="20">
        <f>(200000/X22/K22)*W22</f>
        <v>0</v>
      </c>
      <c r="Z22" s="6"/>
      <c r="AA22" s="7"/>
      <c r="AB22" s="7"/>
    </row>
    <row r="23" spans="1:28" ht="12.75">
      <c r="A23" s="1"/>
      <c r="B23" s="1" t="s">
        <v>79</v>
      </c>
      <c r="C23" s="30" t="s">
        <v>80</v>
      </c>
      <c r="D23" s="1" t="s">
        <v>81</v>
      </c>
      <c r="E23" s="1">
        <v>278</v>
      </c>
      <c r="F23" s="1">
        <v>195</v>
      </c>
      <c r="G23" s="2"/>
      <c r="H23" s="1">
        <v>64</v>
      </c>
      <c r="I23" s="31">
        <v>1</v>
      </c>
      <c r="J23" s="1">
        <v>8500</v>
      </c>
      <c r="K23" s="1">
        <v>10000</v>
      </c>
      <c r="L23" s="1"/>
      <c r="M23" s="1"/>
      <c r="N23" s="1"/>
      <c r="O23" s="1"/>
      <c r="P23" s="1"/>
      <c r="Q23" s="1"/>
      <c r="R23" s="4">
        <f>J23/(E23*H23)</f>
        <v>0</v>
      </c>
      <c r="S23" s="19">
        <f>(E23*H23)/F23</f>
        <v>0</v>
      </c>
      <c r="T23" s="19">
        <v>1</v>
      </c>
      <c r="U23" s="19">
        <f>T23*F23</f>
        <v>0</v>
      </c>
      <c r="V23" s="4">
        <f>F23/G23</f>
        <v>0</v>
      </c>
      <c r="W23" s="20">
        <f>T23*J23</f>
        <v>0</v>
      </c>
      <c r="X23" s="19">
        <f>(H23*0.6*PackVoltage*0.5)/VehicleEnergyConsumption</f>
        <v>0</v>
      </c>
      <c r="Y23" s="20">
        <f>(200000/X23/K23)*W23</f>
        <v>0</v>
      </c>
      <c r="Z23" s="6"/>
      <c r="AA23" s="7"/>
      <c r="AB23" s="7"/>
    </row>
    <row r="24" spans="1:28" ht="12.75">
      <c r="A24" s="1"/>
      <c r="B24" s="1" t="s">
        <v>82</v>
      </c>
      <c r="C24" s="30" t="s">
        <v>83</v>
      </c>
      <c r="D24" s="1" t="s">
        <v>84</v>
      </c>
      <c r="E24" s="1">
        <v>12</v>
      </c>
      <c r="F24" s="1">
        <v>7</v>
      </c>
      <c r="G24" s="2"/>
      <c r="H24" s="1">
        <v>45</v>
      </c>
      <c r="I24" s="1">
        <v>5</v>
      </c>
      <c r="J24" s="1">
        <v>600</v>
      </c>
      <c r="K24" s="1">
        <v>2000</v>
      </c>
      <c r="L24" s="1"/>
      <c r="M24" s="1"/>
      <c r="N24" s="1"/>
      <c r="O24" s="1"/>
      <c r="P24" s="1"/>
      <c r="Q24" s="1"/>
      <c r="R24" s="4">
        <f>J24/(E24*H24)</f>
        <v>0</v>
      </c>
      <c r="S24" s="19">
        <f>(E24*H24)/F24</f>
        <v>0</v>
      </c>
      <c r="T24" s="19">
        <f>PackVoltage/E24</f>
        <v>0</v>
      </c>
      <c r="U24" s="19">
        <f>T24*F24</f>
        <v>0</v>
      </c>
      <c r="V24" s="4">
        <f>F24/G24</f>
        <v>0</v>
      </c>
      <c r="W24" s="20">
        <f>T24*J24</f>
        <v>0</v>
      </c>
      <c r="X24" s="19">
        <f>(H24*0.6*PackVoltage*0.5)/VehicleEnergyConsumption</f>
        <v>0</v>
      </c>
      <c r="Y24" s="20">
        <f>(200000/X24/K24)*W24</f>
        <v>0</v>
      </c>
      <c r="Z24" s="6"/>
      <c r="AA24" s="7"/>
      <c r="AB24" s="7"/>
    </row>
    <row r="25" spans="1:28" ht="12.75">
      <c r="A25" s="1"/>
      <c r="B25" s="1" t="s">
        <v>85</v>
      </c>
      <c r="C25" s="30" t="s">
        <v>86</v>
      </c>
      <c r="D25" s="1" t="s">
        <v>87</v>
      </c>
      <c r="E25" s="1">
        <v>12</v>
      </c>
      <c r="F25" s="1">
        <v>18.6</v>
      </c>
      <c r="G25" s="2">
        <f>(390*120*195)/1000000</f>
        <v>0</v>
      </c>
      <c r="H25" s="1">
        <v>100</v>
      </c>
      <c r="I25" s="1">
        <v>3</v>
      </c>
      <c r="J25" s="1">
        <v>2664</v>
      </c>
      <c r="K25" s="1">
        <v>1200</v>
      </c>
      <c r="L25" s="1"/>
      <c r="M25" s="1">
        <v>160</v>
      </c>
      <c r="N25" s="1">
        <v>332</v>
      </c>
      <c r="O25" s="32">
        <f>(H25*E25)/F25</f>
        <v>0</v>
      </c>
      <c r="P25" s="32">
        <f>(H25*E25)/G25</f>
        <v>0</v>
      </c>
      <c r="Q25" s="1"/>
      <c r="R25" s="4">
        <f>J25/(E25*H25)</f>
        <v>0</v>
      </c>
      <c r="S25" s="19">
        <f>(E25*H25)/F25</f>
        <v>0</v>
      </c>
      <c r="T25" s="19">
        <f>PackVoltage/E25</f>
        <v>0</v>
      </c>
      <c r="U25" s="19">
        <f>T25*F25</f>
        <v>0</v>
      </c>
      <c r="V25" s="4">
        <f>F25/G25</f>
        <v>0</v>
      </c>
      <c r="W25" s="20">
        <f>T25*J25</f>
        <v>0</v>
      </c>
      <c r="X25" s="19">
        <f>(H25*0.6*PackVoltage*0.5)/VehicleEnergyConsumption</f>
        <v>0</v>
      </c>
      <c r="Y25" s="20">
        <f>(200000/X25/K25)*W25</f>
        <v>0</v>
      </c>
      <c r="Z25" s="6"/>
      <c r="AA25" s="7"/>
      <c r="AB25" s="7"/>
    </row>
    <row r="26" spans="1:28" ht="12.75">
      <c r="A26" s="1"/>
      <c r="B26" s="1" t="s">
        <v>88</v>
      </c>
      <c r="C26" s="30" t="s">
        <v>89</v>
      </c>
      <c r="D26" s="1" t="s">
        <v>90</v>
      </c>
      <c r="E26" s="1">
        <v>12</v>
      </c>
      <c r="F26" s="1">
        <v>18</v>
      </c>
      <c r="G26" s="2">
        <f>(388*116*175)/1000000</f>
        <v>0</v>
      </c>
      <c r="H26" s="1">
        <v>80</v>
      </c>
      <c r="I26" s="31">
        <v>1</v>
      </c>
      <c r="J26" s="1">
        <v>668</v>
      </c>
      <c r="K26" s="1">
        <v>600</v>
      </c>
      <c r="L26" s="1"/>
      <c r="M26" s="1"/>
      <c r="N26" s="1"/>
      <c r="O26" s="1"/>
      <c r="P26" s="1"/>
      <c r="Q26" s="1"/>
      <c r="R26" s="4">
        <f>J26/(E26*H26)</f>
        <v>0</v>
      </c>
      <c r="S26" s="19" t="s">
        <v>91</v>
      </c>
      <c r="T26" s="19">
        <f>PackVoltage/E26</f>
        <v>0</v>
      </c>
      <c r="U26" s="19">
        <f>T26*F26</f>
        <v>0</v>
      </c>
      <c r="V26" s="4">
        <f>F26/G26</f>
        <v>0</v>
      </c>
      <c r="W26" s="20">
        <f>T26*J26</f>
        <v>0</v>
      </c>
      <c r="X26" s="19">
        <f>(H26*0.6*PackVoltage*0.5)/VehicleEnergyConsumption</f>
        <v>0</v>
      </c>
      <c r="Y26" s="20">
        <f>(200000/X26/K26)*W26</f>
        <v>0</v>
      </c>
      <c r="Z26" s="6"/>
      <c r="AA26" s="7"/>
      <c r="AB26" s="7"/>
    </row>
    <row r="27" spans="1:28" ht="12.75">
      <c r="A27" s="1"/>
      <c r="B27" s="1" t="s">
        <v>92</v>
      </c>
      <c r="C27" s="30" t="s">
        <v>93</v>
      </c>
      <c r="D27" s="1" t="s">
        <v>94</v>
      </c>
      <c r="E27" s="1">
        <v>36</v>
      </c>
      <c r="F27" s="1">
        <v>7.5</v>
      </c>
      <c r="G27" s="2">
        <f>(490*103*92)/1000000</f>
        <v>0</v>
      </c>
      <c r="H27" s="1">
        <v>10</v>
      </c>
      <c r="I27" s="31">
        <v>1</v>
      </c>
      <c r="J27" s="1">
        <v>140</v>
      </c>
      <c r="K27" s="1">
        <v>600</v>
      </c>
      <c r="L27" s="1"/>
      <c r="M27" s="1"/>
      <c r="N27" s="1"/>
      <c r="O27" s="1"/>
      <c r="P27" s="1"/>
      <c r="Q27" s="1"/>
      <c r="R27" s="4">
        <f>J27/(E27*H27)</f>
        <v>0</v>
      </c>
      <c r="S27" s="19">
        <f>(E27*H27)/F27</f>
        <v>0</v>
      </c>
      <c r="T27" s="19">
        <f>PackVoltage/E27</f>
        <v>0</v>
      </c>
      <c r="U27" s="19">
        <f>T27*F27</f>
        <v>0</v>
      </c>
      <c r="V27" s="4">
        <f>F27/G27</f>
        <v>0</v>
      </c>
      <c r="W27" s="20">
        <f>T27*J27</f>
        <v>0</v>
      </c>
      <c r="X27" s="19">
        <f>(H27*0.6*PackVoltage*0.5)/VehicleEnergyConsumption</f>
        <v>0</v>
      </c>
      <c r="Y27" s="20">
        <f>(200000/X27/K27)*W27</f>
        <v>0</v>
      </c>
      <c r="Z27" s="6"/>
      <c r="AA27" s="7"/>
      <c r="AB27" s="7"/>
    </row>
    <row r="28" spans="1:28" ht="12.75">
      <c r="A28" s="1"/>
      <c r="B28" s="1" t="s">
        <v>95</v>
      </c>
      <c r="C28" s="30" t="s">
        <v>96</v>
      </c>
      <c r="D28" s="1" t="s">
        <v>97</v>
      </c>
      <c r="E28" s="1">
        <v>12</v>
      </c>
      <c r="F28" s="1">
        <v>16.5</v>
      </c>
      <c r="G28" s="2">
        <f>(260*173*200)/1000000</f>
        <v>0</v>
      </c>
      <c r="H28" s="1">
        <v>64</v>
      </c>
      <c r="I28" s="31">
        <v>1</v>
      </c>
      <c r="J28" s="1"/>
      <c r="K28" s="1">
        <v>600</v>
      </c>
      <c r="L28" s="1"/>
      <c r="M28" s="1"/>
      <c r="N28" s="1"/>
      <c r="O28" s="32">
        <f>(H28*E28)/F28</f>
        <v>0</v>
      </c>
      <c r="P28" s="32">
        <f>(H28*E28)/G28</f>
        <v>0</v>
      </c>
      <c r="Q28" s="1"/>
      <c r="R28" s="4">
        <f>J28/(E28*H28)</f>
        <v>0</v>
      </c>
      <c r="S28" s="19">
        <f>(E28*H28)/F28</f>
        <v>0</v>
      </c>
      <c r="T28" s="19">
        <f>PackVoltage/E28</f>
        <v>0</v>
      </c>
      <c r="U28" s="19">
        <f>T28*F28</f>
        <v>0</v>
      </c>
      <c r="V28" s="4">
        <f>F28/G28</f>
        <v>0</v>
      </c>
      <c r="W28" s="20">
        <f>T28*J28</f>
        <v>0</v>
      </c>
      <c r="X28" s="19">
        <f>(H28*0.6*PackVoltage*0.5)/VehicleEnergyConsumption</f>
        <v>0</v>
      </c>
      <c r="Y28" s="20">
        <f>(200000/X28/K28)*W28</f>
        <v>0</v>
      </c>
      <c r="Z28" s="6"/>
      <c r="AA28" s="7"/>
      <c r="AB28" s="7"/>
    </row>
    <row r="29" spans="1:28" ht="12.75">
      <c r="A29" s="1"/>
      <c r="B29" s="1" t="s">
        <v>98</v>
      </c>
      <c r="C29" s="30" t="s">
        <v>99</v>
      </c>
      <c r="D29" s="1" t="s">
        <v>100</v>
      </c>
      <c r="E29" s="1">
        <v>6</v>
      </c>
      <c r="F29" s="1">
        <v>13.2</v>
      </c>
      <c r="G29" s="2">
        <f>(246*123*260)/1000000</f>
        <v>0</v>
      </c>
      <c r="H29" s="1">
        <v>100</v>
      </c>
      <c r="I29" s="1">
        <v>3</v>
      </c>
      <c r="J29" s="1">
        <v>401</v>
      </c>
      <c r="K29" s="1">
        <v>2500</v>
      </c>
      <c r="L29" s="1"/>
      <c r="M29" s="1"/>
      <c r="N29" s="1">
        <v>200</v>
      </c>
      <c r="O29" s="32">
        <f>(H29*E29)/F29</f>
        <v>0</v>
      </c>
      <c r="P29" s="32">
        <f>(H29*E29)/G29</f>
        <v>0</v>
      </c>
      <c r="Q29" s="1"/>
      <c r="R29" s="4">
        <f>J29/(E29*H29)</f>
        <v>0</v>
      </c>
      <c r="S29" s="19">
        <f>(E29*H29)/F29</f>
        <v>0</v>
      </c>
      <c r="T29" s="19">
        <f>PackVoltage/E29</f>
        <v>0</v>
      </c>
      <c r="U29" s="19">
        <f>T29*F29</f>
        <v>0</v>
      </c>
      <c r="V29" s="4">
        <f>F29/G29</f>
        <v>0</v>
      </c>
      <c r="W29" s="20">
        <f>T29*J29</f>
        <v>0</v>
      </c>
      <c r="X29" s="19">
        <f>(H29*0.6*PackVoltage*0.5)/VehicleEnergyConsumption</f>
        <v>0</v>
      </c>
      <c r="Y29" s="20">
        <f>(200000/X29/K29)*W29</f>
        <v>0</v>
      </c>
      <c r="Z29" s="6"/>
      <c r="AA29" s="7"/>
      <c r="AB29" s="7"/>
    </row>
    <row r="30" spans="1:28" ht="12.75">
      <c r="A30" s="1"/>
      <c r="B30" s="1" t="s">
        <v>101</v>
      </c>
      <c r="C30" s="30" t="s">
        <v>102</v>
      </c>
      <c r="D30" s="1" t="s">
        <v>103</v>
      </c>
      <c r="E30" s="1">
        <v>12</v>
      </c>
      <c r="F30" s="1">
        <v>11</v>
      </c>
      <c r="G30" s="2">
        <f>(370*115*140)/1000000</f>
        <v>0</v>
      </c>
      <c r="H30" s="1">
        <v>40</v>
      </c>
      <c r="I30" s="31">
        <v>1</v>
      </c>
      <c r="J30" s="1">
        <v>334</v>
      </c>
      <c r="K30" s="1">
        <v>800</v>
      </c>
      <c r="L30" s="1"/>
      <c r="M30" s="1"/>
      <c r="N30" s="1"/>
      <c r="O30" s="1"/>
      <c r="P30" s="1"/>
      <c r="Q30" s="1"/>
      <c r="R30" s="4">
        <f>J30/(E30*H30)</f>
        <v>0</v>
      </c>
      <c r="S30" s="19">
        <f>(E30*H30)/F30</f>
        <v>0</v>
      </c>
      <c r="T30" s="19">
        <f>PackVoltage/E30</f>
        <v>0</v>
      </c>
      <c r="U30" s="19">
        <f>T30*F30</f>
        <v>0</v>
      </c>
      <c r="V30" s="4">
        <f>F30/G30</f>
        <v>0</v>
      </c>
      <c r="W30" s="20">
        <f>T30*J30</f>
        <v>0</v>
      </c>
      <c r="X30" s="19">
        <f>(H30*0.6*PackVoltage*0.5)/VehicleEnergyConsumption</f>
        <v>0</v>
      </c>
      <c r="Y30" s="20">
        <f>(200000/X30/K30)*W30</f>
        <v>0</v>
      </c>
      <c r="Z30" s="6"/>
      <c r="AA30" s="7"/>
      <c r="AB30" s="7"/>
    </row>
    <row r="31" spans="1:28" ht="12.75">
      <c r="A31" s="1"/>
      <c r="B31" s="1" t="s">
        <v>104</v>
      </c>
      <c r="C31" s="1" t="s">
        <v>105</v>
      </c>
      <c r="D31" s="1" t="s">
        <v>106</v>
      </c>
      <c r="E31" s="1">
        <v>12</v>
      </c>
      <c r="F31" s="1">
        <v>11.8</v>
      </c>
      <c r="G31" s="3">
        <f>(241*130*215)/1000000</f>
        <v>0</v>
      </c>
      <c r="H31" s="1">
        <v>41</v>
      </c>
      <c r="I31" s="1">
        <v>20</v>
      </c>
      <c r="J31" s="1">
        <v>130</v>
      </c>
      <c r="K31" s="1">
        <v>350</v>
      </c>
      <c r="L31" s="1"/>
      <c r="M31" s="1"/>
      <c r="N31" s="1"/>
      <c r="O31" s="1"/>
      <c r="P31" s="1"/>
      <c r="Q31" s="1"/>
      <c r="R31" s="4">
        <f>J31/(E31*H31)</f>
        <v>0</v>
      </c>
      <c r="S31" s="19">
        <f>(E31*H31)/F31</f>
        <v>0</v>
      </c>
      <c r="T31" s="19">
        <f>PackVoltage/E31</f>
        <v>0</v>
      </c>
      <c r="U31" s="19">
        <f>T31*F31</f>
        <v>0</v>
      </c>
      <c r="V31" s="4">
        <f>F31/G31</f>
        <v>0</v>
      </c>
      <c r="W31" s="20">
        <f>T31*J31</f>
        <v>0</v>
      </c>
      <c r="X31" s="19">
        <f>(H31*0.6*PackVoltage*0.5)/VehicleEnergyConsumption</f>
        <v>0</v>
      </c>
      <c r="Y31" s="20">
        <f>(200000/X31/K31)*W31</f>
        <v>0</v>
      </c>
      <c r="Z31" s="1"/>
      <c r="AA31" s="1"/>
      <c r="AB31" s="1"/>
    </row>
    <row r="32" spans="1:28" ht="12.75">
      <c r="A32" s="1"/>
      <c r="B32" s="1" t="s">
        <v>107</v>
      </c>
      <c r="C32" s="1" t="s">
        <v>108</v>
      </c>
      <c r="D32" s="1" t="s">
        <v>109</v>
      </c>
      <c r="E32" s="1">
        <v>12</v>
      </c>
      <c r="F32" s="1">
        <v>17</v>
      </c>
      <c r="G32" s="2">
        <f>(230*170*230)/1000000</f>
        <v>0</v>
      </c>
      <c r="H32" s="1">
        <v>52</v>
      </c>
      <c r="I32" s="1">
        <v>20</v>
      </c>
      <c r="J32" s="1"/>
      <c r="K32" s="1"/>
      <c r="L32" s="1"/>
      <c r="M32" s="1"/>
      <c r="N32" s="1"/>
      <c r="O32" s="1"/>
      <c r="P32" s="1"/>
      <c r="Q32" s="1"/>
      <c r="R32" s="4">
        <f>J32/(E32*H32)</f>
        <v>0</v>
      </c>
      <c r="S32" s="19">
        <f>(E32*H32)/F32</f>
        <v>0</v>
      </c>
      <c r="T32" s="19">
        <f>PackVoltage/E32</f>
        <v>0</v>
      </c>
      <c r="U32" s="19">
        <f>T32*F32</f>
        <v>0</v>
      </c>
      <c r="V32" s="4">
        <f>F32/G32</f>
        <v>0</v>
      </c>
      <c r="W32" s="20">
        <f>T32*J32</f>
        <v>0</v>
      </c>
      <c r="X32" s="19">
        <f>(H32*0.6*PackVoltage*0.5)/VehicleEnergyConsumption</f>
        <v>0</v>
      </c>
      <c r="Y32" s="20">
        <f>(200000/X32/K32)*W32</f>
        <v>0</v>
      </c>
      <c r="Z32" s="6"/>
      <c r="AA32" s="7"/>
      <c r="AB32" s="7"/>
    </row>
    <row r="33" spans="1:28" ht="12.75">
      <c r="A33" s="1"/>
      <c r="B33" s="1" t="s">
        <v>110</v>
      </c>
      <c r="C33" s="1" t="s">
        <v>111</v>
      </c>
      <c r="D33" s="1" t="s">
        <v>112</v>
      </c>
      <c r="E33" s="1">
        <v>12</v>
      </c>
      <c r="F33" s="1">
        <v>10</v>
      </c>
      <c r="G33" s="2">
        <f>(194*132*178)/1000000</f>
        <v>0</v>
      </c>
      <c r="H33" s="1">
        <v>30</v>
      </c>
      <c r="I33" s="1">
        <v>20</v>
      </c>
      <c r="J33" s="1"/>
      <c r="K33" s="1"/>
      <c r="L33" s="1"/>
      <c r="M33" s="1"/>
      <c r="N33" s="1"/>
      <c r="O33" s="1"/>
      <c r="P33" s="1"/>
      <c r="Q33" s="1"/>
      <c r="R33" s="4">
        <f>J33/(E33*H33)</f>
        <v>0</v>
      </c>
      <c r="S33" s="19">
        <f>(E33*H33)/F33</f>
        <v>0</v>
      </c>
      <c r="T33" s="19">
        <f>PackVoltage/E33</f>
        <v>0</v>
      </c>
      <c r="U33" s="19">
        <f>T33*F33</f>
        <v>0</v>
      </c>
      <c r="V33" s="4">
        <f>F33/G33</f>
        <v>0</v>
      </c>
      <c r="W33" s="20">
        <f>T33*J33</f>
        <v>0</v>
      </c>
      <c r="X33" s="19">
        <f>(H33*0.6*PackVoltage*0.5)/VehicleEnergyConsumption</f>
        <v>0</v>
      </c>
      <c r="Y33" s="20">
        <f>(200000/X33/K33)*W33</f>
        <v>0</v>
      </c>
      <c r="Z33" s="6"/>
      <c r="AA33" s="7"/>
      <c r="AB33" s="7"/>
    </row>
    <row r="34" spans="1:28" ht="12.75">
      <c r="A34" s="1"/>
      <c r="B34" s="1" t="s">
        <v>113</v>
      </c>
      <c r="C34" s="1" t="s">
        <v>114</v>
      </c>
      <c r="D34" s="1" t="s">
        <v>115</v>
      </c>
      <c r="E34" s="1">
        <v>12</v>
      </c>
      <c r="F34" s="1">
        <v>14</v>
      </c>
      <c r="G34" s="2">
        <f>(241*140*224)/1000000</f>
        <v>0</v>
      </c>
      <c r="H34" s="1">
        <v>40</v>
      </c>
      <c r="I34" s="1">
        <v>20</v>
      </c>
      <c r="J34" s="1"/>
      <c r="K34" s="1"/>
      <c r="L34" s="1"/>
      <c r="M34" s="1"/>
      <c r="N34" s="1"/>
      <c r="O34" s="1"/>
      <c r="P34" s="1"/>
      <c r="Q34" s="1"/>
      <c r="R34" s="4">
        <f>J34/(E34*H34)</f>
        <v>0</v>
      </c>
      <c r="S34" s="19">
        <f>(E34*H34)/F34</f>
        <v>0</v>
      </c>
      <c r="T34" s="19">
        <f>PackVoltage/E34</f>
        <v>0</v>
      </c>
      <c r="U34" s="19">
        <f>T34*F34</f>
        <v>0</v>
      </c>
      <c r="V34" s="4">
        <f>F34/G34</f>
        <v>0</v>
      </c>
      <c r="W34" s="20">
        <f>T34*J34</f>
        <v>0</v>
      </c>
      <c r="X34" s="19">
        <f>(H34*0.6*PackVoltage*0.5)/VehicleEnergyConsumption</f>
        <v>0</v>
      </c>
      <c r="Y34" s="20">
        <f>(200000/X34/K34)*W34</f>
        <v>0</v>
      </c>
      <c r="Z34" s="6"/>
      <c r="AA34" s="7"/>
      <c r="AB34" s="7"/>
    </row>
    <row r="35" spans="1:28" ht="12.75">
      <c r="A35" s="1"/>
      <c r="B35" s="1" t="s">
        <v>116</v>
      </c>
      <c r="C35" s="30" t="s">
        <v>117</v>
      </c>
      <c r="D35" s="1" t="s">
        <v>118</v>
      </c>
      <c r="E35" s="1">
        <v>12</v>
      </c>
      <c r="F35" s="1">
        <v>25</v>
      </c>
      <c r="G35" s="2">
        <f>(168*331*176)/1000000</f>
        <v>0</v>
      </c>
      <c r="H35" s="1">
        <v>71</v>
      </c>
      <c r="I35" s="1">
        <v>10</v>
      </c>
      <c r="J35" s="1">
        <v>240</v>
      </c>
      <c r="K35" s="1">
        <v>450</v>
      </c>
      <c r="L35" s="1"/>
      <c r="M35" s="1"/>
      <c r="N35" s="1"/>
      <c r="O35" s="32"/>
      <c r="P35" s="32"/>
      <c r="Q35" s="1"/>
      <c r="R35" s="4">
        <f>J35/(E35*H35)</f>
        <v>0</v>
      </c>
      <c r="S35" s="19">
        <f>(E35*H35)/F35</f>
        <v>0</v>
      </c>
      <c r="T35" s="19">
        <f>PackVoltage/E35</f>
        <v>0</v>
      </c>
      <c r="U35" s="19">
        <f>T35*F35</f>
        <v>0</v>
      </c>
      <c r="V35" s="4">
        <f>F35/G35</f>
        <v>0</v>
      </c>
      <c r="W35" s="20">
        <f>T35*J35</f>
        <v>0</v>
      </c>
      <c r="X35" s="19">
        <f>(H35*0.6*PackVoltage*0.5)/VehicleEnergyConsumption</f>
        <v>0</v>
      </c>
      <c r="Y35" s="20">
        <f>(200000/X35/K35)*W35</f>
        <v>0</v>
      </c>
      <c r="Z35" s="6"/>
      <c r="AA35" s="7"/>
      <c r="AB35" s="7"/>
    </row>
    <row r="36" spans="1:28" ht="12.75">
      <c r="A36" s="1"/>
      <c r="B36" s="1" t="s">
        <v>119</v>
      </c>
      <c r="C36" s="1" t="s">
        <v>120</v>
      </c>
      <c r="D36" s="1" t="s">
        <v>121</v>
      </c>
      <c r="E36" s="1">
        <v>12</v>
      </c>
      <c r="F36" s="1">
        <v>27.1</v>
      </c>
      <c r="G36" s="2">
        <f>(325*165*238)/1000000</f>
        <v>0</v>
      </c>
      <c r="H36" s="1">
        <v>75</v>
      </c>
      <c r="I36" s="1">
        <v>20</v>
      </c>
      <c r="J36" s="1">
        <v>200</v>
      </c>
      <c r="K36" s="1">
        <v>350</v>
      </c>
      <c r="L36" s="1"/>
      <c r="M36" s="1"/>
      <c r="N36" s="1"/>
      <c r="O36" s="32">
        <f>(H36*E36)/F36</f>
        <v>0</v>
      </c>
      <c r="P36" s="32">
        <f>(H36*E36)/G36</f>
        <v>0</v>
      </c>
      <c r="Q36" s="1"/>
      <c r="R36" s="4">
        <f>J36/(E36*H36)</f>
        <v>0</v>
      </c>
      <c r="S36" s="19">
        <f>(E36*H36)/F36</f>
        <v>0</v>
      </c>
      <c r="T36" s="19">
        <f>PackVoltage/E36</f>
        <v>0</v>
      </c>
      <c r="U36" s="19">
        <f>T36*F36</f>
        <v>0</v>
      </c>
      <c r="V36" s="4">
        <f>F36/G36</f>
        <v>0</v>
      </c>
      <c r="W36" s="20">
        <f>T36*J36</f>
        <v>0</v>
      </c>
      <c r="X36" s="19">
        <f>(H36*0.6*PackVoltage*0.5)/VehicleEnergyConsumption</f>
        <v>0</v>
      </c>
      <c r="Y36" s="20">
        <f>(200000/X36/K36)*W36</f>
        <v>0</v>
      </c>
      <c r="Z36" s="6"/>
      <c r="AA36" s="7"/>
      <c r="AB36" s="7"/>
    </row>
    <row r="37" spans="1:28" ht="12.75">
      <c r="A37" s="1"/>
      <c r="B37" s="1" t="s">
        <v>122</v>
      </c>
      <c r="C37" s="30" t="s">
        <v>123</v>
      </c>
      <c r="D37" s="1" t="s">
        <v>124</v>
      </c>
      <c r="E37" s="1">
        <v>7.2</v>
      </c>
      <c r="F37" s="1">
        <v>20.3</v>
      </c>
      <c r="G37" s="2">
        <f>(270*123*365)/1000000</f>
        <v>0</v>
      </c>
      <c r="H37" s="1">
        <v>48</v>
      </c>
      <c r="I37" s="1">
        <v>5</v>
      </c>
      <c r="J37" s="1"/>
      <c r="K37" s="1"/>
      <c r="L37" s="1"/>
      <c r="M37" s="1"/>
      <c r="N37" s="1"/>
      <c r="O37" s="1"/>
      <c r="P37" s="1"/>
      <c r="Q37" s="1"/>
      <c r="R37" s="4">
        <f>J37/(E37*H37)</f>
        <v>0</v>
      </c>
      <c r="S37" s="19">
        <f>(E37*H37)/F37</f>
        <v>0</v>
      </c>
      <c r="T37" s="19">
        <f>PackVoltage/E37</f>
        <v>0</v>
      </c>
      <c r="U37" s="19">
        <f>T37*F37</f>
        <v>0</v>
      </c>
      <c r="V37" s="4">
        <f>F37/G37</f>
        <v>0</v>
      </c>
      <c r="W37" s="20">
        <f>T37*J37</f>
        <v>0</v>
      </c>
      <c r="X37" s="19">
        <f>(H37*0.6*PackVoltage*0.5)/VehicleEnergyConsumption</f>
        <v>0</v>
      </c>
      <c r="Y37" s="20">
        <f>(200000/X37/K37)*W37</f>
        <v>0</v>
      </c>
      <c r="Z37" s="6"/>
      <c r="AA37" s="7"/>
      <c r="AB37" s="7"/>
    </row>
    <row r="38" spans="1:28" ht="12.75">
      <c r="A38" s="1"/>
      <c r="B38" s="1" t="s">
        <v>125</v>
      </c>
      <c r="C38" s="30" t="s">
        <v>126</v>
      </c>
      <c r="D38" s="1" t="s">
        <v>127</v>
      </c>
      <c r="E38" s="1">
        <v>48</v>
      </c>
      <c r="F38" s="1">
        <v>95</v>
      </c>
      <c r="G38" s="2">
        <f>(617*478*316)/1000000</f>
        <v>0</v>
      </c>
      <c r="I38" s="1"/>
      <c r="J38" s="1"/>
      <c r="K38" s="1"/>
      <c r="L38" s="1"/>
      <c r="M38" s="1"/>
      <c r="N38" s="1" t="s">
        <v>128</v>
      </c>
      <c r="O38" s="1"/>
      <c r="P38" s="1"/>
      <c r="Q38" s="1"/>
      <c r="R38" s="4">
        <f>J38/(E38*H38)</f>
        <v>0</v>
      </c>
      <c r="S38" s="19">
        <f>(E38*H38)/F38</f>
        <v>0</v>
      </c>
      <c r="T38" s="19">
        <f>PackVoltage/E38</f>
        <v>0</v>
      </c>
      <c r="U38" s="19">
        <f>T38*F38</f>
        <v>0</v>
      </c>
      <c r="V38" s="4">
        <f>F38/G38</f>
        <v>0</v>
      </c>
      <c r="W38" s="20">
        <f>T38*J38</f>
        <v>0</v>
      </c>
      <c r="X38" s="19">
        <f>(H38*0.6*PackVoltage*0.5)/VehicleEnergyConsumption</f>
        <v>0</v>
      </c>
      <c r="Y38" s="20">
        <f>(200000/X38/K38)*W38</f>
        <v>0</v>
      </c>
      <c r="Z38" s="6"/>
      <c r="AA38" s="7"/>
      <c r="AB38" s="7"/>
    </row>
    <row r="39" spans="1:28" ht="12.75">
      <c r="A39" s="1"/>
      <c r="B39" s="1" t="s">
        <v>129</v>
      </c>
      <c r="C39" s="1" t="s">
        <v>130</v>
      </c>
      <c r="D39" s="1" t="s">
        <v>131</v>
      </c>
      <c r="E39" s="1">
        <v>3.7</v>
      </c>
      <c r="F39" s="1">
        <v>1.95</v>
      </c>
      <c r="G39" s="2">
        <f>(9*455*325)/1000000</f>
        <v>0</v>
      </c>
      <c r="H39" s="1">
        <v>70</v>
      </c>
      <c r="I39" s="1">
        <v>1</v>
      </c>
      <c r="J39" s="3">
        <f>360+20</f>
        <v>0</v>
      </c>
      <c r="K39" s="1">
        <v>500</v>
      </c>
      <c r="L39" s="1"/>
      <c r="M39" s="1"/>
      <c r="N39" s="1"/>
      <c r="O39" s="1"/>
      <c r="P39" s="1"/>
      <c r="Q39" s="1"/>
      <c r="R39" s="4">
        <f>J39/(E39*H39)</f>
        <v>0</v>
      </c>
      <c r="S39" s="19">
        <f>(E39*H39)/F39</f>
        <v>0</v>
      </c>
      <c r="T39" s="19">
        <f>PackVoltage/E39</f>
        <v>0</v>
      </c>
      <c r="U39" s="19">
        <f>T39*F39</f>
        <v>0</v>
      </c>
      <c r="V39" s="4">
        <f>F39/G39</f>
        <v>0</v>
      </c>
      <c r="W39" s="20">
        <f>T39*J39</f>
        <v>0</v>
      </c>
      <c r="X39" s="19">
        <f>(H39*0.6*PackVoltage*0.5)/VehicleEnergyConsumption</f>
        <v>0</v>
      </c>
      <c r="Y39" s="20">
        <f>(200000/X39/K39)*W39</f>
        <v>0</v>
      </c>
      <c r="Z39" s="6"/>
      <c r="AA39" s="7"/>
      <c r="AB39" s="7"/>
    </row>
    <row r="40" spans="1:28" ht="12.75">
      <c r="A40" s="1"/>
      <c r="B40" s="1" t="s">
        <v>132</v>
      </c>
      <c r="C40" s="1" t="s">
        <v>133</v>
      </c>
      <c r="D40" s="1" t="s">
        <v>134</v>
      </c>
      <c r="E40" s="1">
        <v>15</v>
      </c>
      <c r="F40" s="3">
        <f>1.1*10</f>
        <v>0</v>
      </c>
      <c r="G40" s="2"/>
      <c r="H40" s="3">
        <f>11*10</f>
        <v>0</v>
      </c>
      <c r="I40" s="1"/>
      <c r="J40" s="3">
        <f>449*10</f>
        <v>0</v>
      </c>
      <c r="K40" s="1"/>
      <c r="L40" s="1"/>
      <c r="M40" s="1"/>
      <c r="N40" s="1"/>
      <c r="O40" s="1"/>
      <c r="P40" s="1"/>
      <c r="Q40" s="1"/>
      <c r="R40" s="4">
        <f>J40/(E40*H40)</f>
        <v>0</v>
      </c>
      <c r="S40" s="19">
        <f>(E40*H40)/F40</f>
        <v>0</v>
      </c>
      <c r="T40" s="19">
        <f>PackVoltage/E40</f>
        <v>0</v>
      </c>
      <c r="U40" s="19">
        <f>T40*F40</f>
        <v>0</v>
      </c>
      <c r="V40" s="4">
        <f>F40/G40</f>
        <v>0</v>
      </c>
      <c r="W40" s="20">
        <f>T40*J40</f>
        <v>0</v>
      </c>
      <c r="X40" s="19">
        <f>(H40*0.6*PackVoltage*0.5)/VehicleEnergyConsumption</f>
        <v>0</v>
      </c>
      <c r="Y40" s="20">
        <f>(200000/X40/K40)*W40</f>
        <v>0</v>
      </c>
      <c r="Z40" s="6"/>
      <c r="AA40" s="7"/>
      <c r="AB40" s="7"/>
    </row>
    <row r="41" spans="1:28" ht="12.75">
      <c r="A41" s="1"/>
      <c r="B41" s="1" t="s">
        <v>135</v>
      </c>
      <c r="C41" s="1" t="s">
        <v>136</v>
      </c>
      <c r="D41" s="1" t="s">
        <v>137</v>
      </c>
      <c r="E41" s="1">
        <v>12</v>
      </c>
      <c r="F41" s="1">
        <v>24</v>
      </c>
      <c r="G41" s="2"/>
      <c r="H41" s="1">
        <v>95</v>
      </c>
      <c r="I41" s="1"/>
      <c r="J41" s="1">
        <v>687</v>
      </c>
      <c r="K41" s="1">
        <v>500</v>
      </c>
      <c r="L41" s="1"/>
      <c r="M41" s="1"/>
      <c r="N41" s="1"/>
      <c r="O41" s="1"/>
      <c r="P41" s="1"/>
      <c r="Q41" s="1"/>
      <c r="R41" s="4">
        <f>J41/(E41*H41)</f>
        <v>0</v>
      </c>
      <c r="S41" s="19">
        <f>(E41*H41)/F41</f>
        <v>0</v>
      </c>
      <c r="T41" s="19">
        <f>PackVoltage/E41</f>
        <v>0</v>
      </c>
      <c r="U41" s="19">
        <f>T41*F41</f>
        <v>0</v>
      </c>
      <c r="V41" s="4">
        <f>F41/G41</f>
        <v>0</v>
      </c>
      <c r="W41" s="20">
        <f>T41*J41</f>
        <v>0</v>
      </c>
      <c r="X41" s="19">
        <f>(H41*0.6*PackVoltage*0.5)/VehicleEnergyConsumption</f>
        <v>0</v>
      </c>
      <c r="Y41" s="20">
        <f>(200000/X41/K41)*W41</f>
        <v>0</v>
      </c>
      <c r="Z41" s="6"/>
      <c r="AA41" s="7"/>
      <c r="AB41" s="7"/>
    </row>
    <row r="42" spans="1:28" ht="12.75">
      <c r="A42" s="1"/>
      <c r="B42" s="1" t="s">
        <v>138</v>
      </c>
      <c r="C42" s="1"/>
      <c r="D42" s="1"/>
      <c r="E42" s="1"/>
      <c r="F42" s="1"/>
      <c r="G42" s="2"/>
      <c r="I42" s="1"/>
      <c r="J42" s="1"/>
      <c r="K42" s="1"/>
      <c r="L42" s="1"/>
      <c r="M42" s="1"/>
      <c r="N42" s="1"/>
      <c r="O42" s="1"/>
      <c r="P42" s="1"/>
      <c r="Q42" s="1"/>
      <c r="R42" s="4"/>
      <c r="S42" s="5"/>
      <c r="T42" s="5"/>
      <c r="U42" s="5"/>
      <c r="V42" s="5"/>
      <c r="W42" s="5"/>
      <c r="X42" s="5"/>
      <c r="Y42" s="5"/>
      <c r="Z42" s="6"/>
      <c r="AA42" s="7"/>
      <c r="AB42" s="7"/>
    </row>
    <row r="43" spans="1:28" ht="12.75">
      <c r="A43" s="1"/>
      <c r="B43" s="1" t="s">
        <v>139</v>
      </c>
      <c r="C43" s="30" t="s">
        <v>140</v>
      </c>
      <c r="D43" s="1" t="s">
        <v>141</v>
      </c>
      <c r="E43" s="1"/>
      <c r="F43" s="1"/>
      <c r="G43" s="2"/>
      <c r="I43" s="1"/>
      <c r="J43" s="1"/>
      <c r="K43" s="1"/>
      <c r="L43" s="1"/>
      <c r="M43" s="1"/>
      <c r="N43" s="1"/>
      <c r="O43" s="1"/>
      <c r="P43" s="1"/>
      <c r="Q43" s="1"/>
      <c r="R43" s="4"/>
      <c r="S43" s="5"/>
      <c r="T43" s="5"/>
      <c r="U43" s="5"/>
      <c r="V43" s="5"/>
      <c r="W43" s="5"/>
      <c r="X43" s="5"/>
      <c r="Y43" s="5"/>
      <c r="Z43" s="6"/>
      <c r="AA43" s="7"/>
      <c r="AB43" s="7"/>
    </row>
  </sheetData>
  <printOptions gridLines="1"/>
  <pageMargins left="0.75" right="0.75" top="1" bottom="1" header="0.511811023" footer="0.51181102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R12"/>
  <sheetViews>
    <sheetView workbookViewId="0" topLeftCell="A1">
      <selection activeCell="A1" sqref="A1"/>
    </sheetView>
  </sheetViews>
  <sheetFormatPr defaultColWidth="11.421875" defaultRowHeight="12.75"/>
  <cols>
    <col min="1" max="1" width="11.28125" style="0" customWidth="1"/>
    <col min="2" max="2" width="10.00390625" style="0" customWidth="1"/>
    <col min="3" max="18" width="9.00390625" style="0" customWidth="1"/>
  </cols>
  <sheetData>
    <row r="1" spans="1:18" ht="42" customHeight="1">
      <c r="A1" s="10" t="s">
        <v>142</v>
      </c>
      <c r="B1" s="10" t="s">
        <v>143</v>
      </c>
      <c r="C1" s="10" t="s">
        <v>144</v>
      </c>
      <c r="D1" s="10" t="s">
        <v>145</v>
      </c>
      <c r="E1" s="10" t="s">
        <v>146</v>
      </c>
      <c r="F1" s="10" t="s">
        <v>147</v>
      </c>
      <c r="G1" s="10" t="s">
        <v>148</v>
      </c>
      <c r="H1" s="10" t="s">
        <v>149</v>
      </c>
      <c r="I1" s="35">
        <f>9+5/16</f>
        <v>0</v>
      </c>
      <c r="J1" s="10" t="s">
        <v>150</v>
      </c>
      <c r="K1" s="10" t="s">
        <v>151</v>
      </c>
      <c r="L1" s="13" t="s">
        <v>152</v>
      </c>
      <c r="M1" s="13" t="s">
        <v>153</v>
      </c>
      <c r="N1" s="13" t="s">
        <v>154</v>
      </c>
      <c r="O1" s="12" t="s">
        <v>155</v>
      </c>
      <c r="P1" s="36" t="s">
        <v>156</v>
      </c>
      <c r="Q1" s="37" t="s">
        <v>157</v>
      </c>
      <c r="R1" s="37" t="s">
        <v>158</v>
      </c>
    </row>
    <row r="2" spans="1:18" ht="12.75">
      <c r="A2" s="1" t="s">
        <v>159</v>
      </c>
      <c r="B2" s="1" t="s">
        <v>160</v>
      </c>
      <c r="C2" s="1" t="s">
        <v>161</v>
      </c>
      <c r="D2" s="1" t="s">
        <v>162</v>
      </c>
      <c r="E2" s="1">
        <v>3.7</v>
      </c>
      <c r="F2" s="1">
        <v>1.1</v>
      </c>
      <c r="I2" s="3">
        <f>6+13/16</f>
        <v>0</v>
      </c>
      <c r="K2" s="1">
        <v>6</v>
      </c>
      <c r="L2" s="38">
        <f>INT(200/F2)</f>
        <v>0</v>
      </c>
      <c r="M2" s="38">
        <f>INT(312/E2)</f>
        <v>0</v>
      </c>
      <c r="N2" s="38">
        <f>M2*L2</f>
        <v>0</v>
      </c>
      <c r="O2" s="4">
        <f>K2/(E2*F2)</f>
        <v>0</v>
      </c>
      <c r="P2" s="39">
        <f>N2*K2</f>
        <v>0</v>
      </c>
      <c r="Q2" s="19">
        <f>(E2*F2)/I2</f>
        <v>0</v>
      </c>
      <c r="R2" s="19">
        <f>N2*I2</f>
        <v>0</v>
      </c>
    </row>
    <row r="3" spans="1:18" ht="12.75">
      <c r="A3" s="1" t="s">
        <v>163</v>
      </c>
      <c r="B3" s="1" t="s">
        <v>164</v>
      </c>
      <c r="C3" s="1" t="s">
        <v>165</v>
      </c>
      <c r="D3" s="1" t="s">
        <v>166</v>
      </c>
      <c r="E3" s="1">
        <v>1.2</v>
      </c>
      <c r="F3" s="1">
        <v>50</v>
      </c>
      <c r="I3" s="3">
        <f>7+5/8</f>
        <v>0</v>
      </c>
      <c r="K3" s="1">
        <v>44.1</v>
      </c>
      <c r="L3" s="38">
        <f>INT(200/F3)</f>
        <v>0</v>
      </c>
      <c r="M3" s="38">
        <f>INT(312/E3)</f>
        <v>0</v>
      </c>
      <c r="N3" s="38">
        <f>M3*L3</f>
        <v>0</v>
      </c>
      <c r="O3" s="4">
        <f>K3/(E3*F3)</f>
        <v>0</v>
      </c>
      <c r="P3" s="39">
        <f>N3*K3</f>
        <v>0</v>
      </c>
      <c r="Q3" s="19">
        <f>(E3*F3)/I3</f>
        <v>0</v>
      </c>
      <c r="R3" s="19">
        <f>N3*I3</f>
        <v>0</v>
      </c>
    </row>
    <row r="4" spans="1:18" ht="12.75">
      <c r="A4" s="1"/>
      <c r="B4" s="1"/>
      <c r="L4" s="5"/>
      <c r="M4" s="5"/>
      <c r="N4" s="5"/>
      <c r="O4" s="4"/>
      <c r="P4" s="39"/>
      <c r="Q4" s="19"/>
      <c r="R4" s="19"/>
    </row>
    <row r="5" spans="1:18" ht="12.75">
      <c r="A5" s="1" t="s">
        <v>167</v>
      </c>
      <c r="B5" s="1" t="s">
        <v>168</v>
      </c>
      <c r="C5" s="1" t="s">
        <v>169</v>
      </c>
      <c r="D5" s="1" t="s">
        <v>170</v>
      </c>
      <c r="E5" s="1">
        <v>3.55</v>
      </c>
      <c r="F5" s="1">
        <v>45</v>
      </c>
      <c r="I5" s="1">
        <v>1.07</v>
      </c>
      <c r="K5" s="1">
        <v>208</v>
      </c>
      <c r="L5" s="38">
        <f>INT(200/F5)</f>
        <v>0</v>
      </c>
      <c r="M5" s="38">
        <f>INT(312/E5)</f>
        <v>0</v>
      </c>
      <c r="N5" s="38">
        <f>M5*L5</f>
        <v>0</v>
      </c>
      <c r="O5" s="4">
        <f>K5/(E5*F5)</f>
        <v>0</v>
      </c>
      <c r="P5" s="39">
        <f>N5*K5</f>
        <v>0</v>
      </c>
      <c r="Q5" s="19">
        <f>(E5*F5)/I5</f>
        <v>0</v>
      </c>
      <c r="R5" s="19">
        <f>N5*I5</f>
        <v>0</v>
      </c>
    </row>
    <row r="6" spans="1:18" ht="12.75">
      <c r="A6" s="1" t="s">
        <v>171</v>
      </c>
      <c r="B6" s="1" t="s">
        <v>172</v>
      </c>
      <c r="C6" s="1" t="s">
        <v>173</v>
      </c>
      <c r="D6" s="1" t="s">
        <v>174</v>
      </c>
      <c r="E6" s="1">
        <v>10.8</v>
      </c>
      <c r="F6" s="1">
        <v>7.2</v>
      </c>
      <c r="K6" s="1">
        <v>160</v>
      </c>
      <c r="L6" s="38">
        <f>INT(200/F6)</f>
        <v>0</v>
      </c>
      <c r="M6" s="38">
        <f>INT(312/E6)</f>
        <v>0</v>
      </c>
      <c r="N6" s="38">
        <f>M6*L6</f>
        <v>0</v>
      </c>
      <c r="O6" s="4">
        <f>K6/(E6*F6)</f>
        <v>0</v>
      </c>
      <c r="P6" s="39">
        <f>N6*K6</f>
        <v>0</v>
      </c>
      <c r="Q6" s="19">
        <f>(E6*F6)/I6</f>
        <v>0</v>
      </c>
      <c r="R6" s="19">
        <f>N6*I6</f>
        <v>0</v>
      </c>
    </row>
    <row r="7" spans="1:18" ht="12.75">
      <c r="A7" s="1"/>
      <c r="B7" s="1" t="s">
        <v>175</v>
      </c>
      <c r="D7" s="1" t="s">
        <v>176</v>
      </c>
      <c r="E7" s="1">
        <v>3.7</v>
      </c>
      <c r="F7" s="1">
        <v>1.4</v>
      </c>
      <c r="K7" s="1">
        <v>16</v>
      </c>
      <c r="L7" s="38">
        <f>INT(200/F7)</f>
        <v>0</v>
      </c>
      <c r="M7" s="38">
        <f>INT(312/E7)</f>
        <v>0</v>
      </c>
      <c r="N7" s="38">
        <f>M7*L7</f>
        <v>0</v>
      </c>
      <c r="O7" s="4">
        <f>K7/(E7*F7)</f>
        <v>0</v>
      </c>
      <c r="P7" s="39">
        <f>N7*K7</f>
        <v>0</v>
      </c>
      <c r="Q7" s="19">
        <f>(E7*F7)/I7</f>
        <v>0</v>
      </c>
      <c r="R7" s="19">
        <f>N7*I7</f>
        <v>0</v>
      </c>
    </row>
    <row r="8" spans="1:18" ht="12.75">
      <c r="A8" s="1"/>
      <c r="B8" s="1" t="s">
        <v>177</v>
      </c>
      <c r="D8" s="1" t="s">
        <v>178</v>
      </c>
      <c r="E8" s="1">
        <v>7.2</v>
      </c>
      <c r="F8" s="1">
        <v>2</v>
      </c>
      <c r="K8" s="1">
        <v>20</v>
      </c>
      <c r="L8" s="38">
        <f>INT(200/F8)</f>
        <v>0</v>
      </c>
      <c r="M8" s="38">
        <f>INT(312/E8)</f>
        <v>0</v>
      </c>
      <c r="N8" s="38">
        <f>M8*L8</f>
        <v>0</v>
      </c>
      <c r="O8" s="4">
        <f>K8/(E8*F8)</f>
        <v>0</v>
      </c>
      <c r="P8" s="39">
        <f>N8*K8</f>
        <v>0</v>
      </c>
      <c r="Q8" s="19">
        <f>(E8*F8)/I8</f>
        <v>0</v>
      </c>
      <c r="R8" s="19">
        <f>N8*I8</f>
        <v>0</v>
      </c>
    </row>
    <row r="9" spans="1:18" ht="12.75">
      <c r="A9" s="1"/>
      <c r="B9" s="1" t="s">
        <v>179</v>
      </c>
      <c r="D9" s="1" t="s">
        <v>180</v>
      </c>
      <c r="E9" s="1">
        <v>3.6</v>
      </c>
      <c r="F9" s="1">
        <v>2</v>
      </c>
      <c r="K9" s="3">
        <f>250/50</f>
        <v>0</v>
      </c>
      <c r="L9" s="38">
        <f>INT(200/F9)</f>
        <v>0</v>
      </c>
      <c r="M9" s="38">
        <f>INT(312/E9)</f>
        <v>0</v>
      </c>
      <c r="N9" s="38">
        <f>M9*L9</f>
        <v>0</v>
      </c>
      <c r="O9" s="4">
        <f>K9/(E9*F9)</f>
        <v>0</v>
      </c>
      <c r="P9" s="39">
        <f>N9*K9</f>
        <v>0</v>
      </c>
      <c r="Q9" s="19">
        <f>(E9*F9)/I9</f>
        <v>0</v>
      </c>
      <c r="R9" s="19">
        <f>N9*I9</f>
        <v>0</v>
      </c>
    </row>
    <row r="10" spans="1:18" ht="12.75">
      <c r="A10" s="1" t="s">
        <v>181</v>
      </c>
      <c r="B10" s="1" t="s">
        <v>182</v>
      </c>
      <c r="D10" s="1" t="s">
        <v>183</v>
      </c>
      <c r="E10" s="1">
        <v>1.2</v>
      </c>
      <c r="F10" s="1">
        <v>9.5</v>
      </c>
      <c r="K10" s="3">
        <f>45/8</f>
        <v>0</v>
      </c>
      <c r="L10" s="38">
        <f>INT(200/F10)</f>
        <v>0</v>
      </c>
      <c r="M10" s="38">
        <f>INT(312/E10)</f>
        <v>0</v>
      </c>
      <c r="N10" s="38">
        <f>M10*L10</f>
        <v>0</v>
      </c>
      <c r="O10" s="4">
        <f>K10/(E10*F10)</f>
        <v>0</v>
      </c>
      <c r="P10" s="39">
        <f>N10*K10</f>
        <v>0</v>
      </c>
      <c r="Q10" s="19">
        <f>(E10*F10)/I10</f>
        <v>0</v>
      </c>
      <c r="R10" s="19">
        <f>N10*I10</f>
        <v>0</v>
      </c>
    </row>
    <row r="11" spans="1:18" ht="12.75">
      <c r="A11" s="1" t="s">
        <v>184</v>
      </c>
      <c r="B11" s="1" t="s">
        <v>185</v>
      </c>
      <c r="C11" s="1" t="s">
        <v>186</v>
      </c>
      <c r="D11" s="1" t="s">
        <v>187</v>
      </c>
      <c r="E11" s="1">
        <v>3.6</v>
      </c>
      <c r="F11" s="1">
        <v>2</v>
      </c>
      <c r="K11" s="3">
        <f>24/4</f>
        <v>0</v>
      </c>
      <c r="L11" s="38">
        <f>INT(200/F11)</f>
        <v>0</v>
      </c>
      <c r="M11" s="38">
        <f>INT(312/E11)</f>
        <v>0</v>
      </c>
      <c r="N11" s="38">
        <f>M11*L11</f>
        <v>0</v>
      </c>
      <c r="O11" s="4">
        <f>K11/(E11*F11)</f>
        <v>0</v>
      </c>
      <c r="P11" s="39">
        <f>N11*K11</f>
        <v>0</v>
      </c>
      <c r="Q11" s="19">
        <f>(E11*F11)/I11</f>
        <v>0</v>
      </c>
      <c r="R11" s="19">
        <f>N11*I11</f>
        <v>0</v>
      </c>
    </row>
    <row r="12" spans="1:18" ht="12.75">
      <c r="A12" s="1" t="s">
        <v>188</v>
      </c>
      <c r="B12" s="1" t="s">
        <v>189</v>
      </c>
      <c r="C12" s="1" t="s">
        <v>190</v>
      </c>
      <c r="D12" s="1" t="s">
        <v>191</v>
      </c>
      <c r="E12" s="1">
        <v>3.6</v>
      </c>
      <c r="F12" s="1">
        <v>2.5</v>
      </c>
      <c r="G12" s="1">
        <v>46</v>
      </c>
      <c r="H12" s="1">
        <v>545</v>
      </c>
      <c r="L12" s="38">
        <f>INT(200/F12)</f>
        <v>0</v>
      </c>
      <c r="M12" s="38">
        <f>INT(312/E12)</f>
        <v>0</v>
      </c>
      <c r="N12" s="38">
        <f>M12*L12</f>
        <v>0</v>
      </c>
      <c r="O12" s="4"/>
      <c r="P12" s="39"/>
      <c r="Q12" s="19">
        <f>(E12*F12)/I12</f>
        <v>0</v>
      </c>
      <c r="R12" s="19">
        <f>N12*I12</f>
        <v>0</v>
      </c>
    </row>
  </sheetData>
  <printOptions gridLines="1"/>
  <pageMargins left="0.75" right="0.75" top="1" bottom="1" header="0.511811023" footer="0.51181102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L14"/>
  <sheetViews>
    <sheetView workbookViewId="0" topLeftCell="A1">
      <selection activeCell="A1" sqref="A1"/>
    </sheetView>
  </sheetViews>
  <sheetFormatPr defaultColWidth="11.421875" defaultRowHeight="12.75"/>
  <cols>
    <col min="1" max="1" width="20.140625" style="0" customWidth="1"/>
    <col min="2" max="3" width="9.00390625" style="0" customWidth="1"/>
    <col min="4" max="4" width="10.00390625" style="0" customWidth="1"/>
    <col min="5" max="5" width="11.00390625" style="0" customWidth="1"/>
    <col min="6" max="6" width="10.00390625" style="0" customWidth="1"/>
    <col min="7" max="9" width="9.00390625" style="0" customWidth="1"/>
    <col min="10" max="10" width="10.28125" style="0" customWidth="1"/>
    <col min="11" max="11" width="12.421875" style="0" customWidth="1"/>
    <col min="12" max="12" width="9.00390625" style="0" customWidth="1"/>
  </cols>
  <sheetData>
    <row r="1" spans="1:12" ht="49.5" customHeight="1">
      <c r="A1" s="1"/>
      <c r="B1" s="40" t="s">
        <v>192</v>
      </c>
      <c r="C1" s="40" t="s">
        <v>193</v>
      </c>
      <c r="D1" s="40" t="s">
        <v>194</v>
      </c>
      <c r="E1" s="40" t="s">
        <v>195</v>
      </c>
      <c r="F1" s="40" t="s">
        <v>196</v>
      </c>
      <c r="G1" s="40" t="s">
        <v>197</v>
      </c>
      <c r="H1" s="40" t="s">
        <v>198</v>
      </c>
      <c r="I1" s="40" t="s">
        <v>199</v>
      </c>
      <c r="J1" s="40" t="s">
        <v>200</v>
      </c>
      <c r="K1" s="40" t="s">
        <v>201</v>
      </c>
      <c r="L1" s="40" t="s">
        <v>202</v>
      </c>
    </row>
    <row r="2" spans="1:12" ht="12.75">
      <c r="A2" s="1"/>
      <c r="C2" s="41"/>
      <c r="D2" s="41"/>
      <c r="E2" s="41"/>
      <c r="F2" s="41"/>
      <c r="G2" s="41"/>
      <c r="H2" s="41"/>
      <c r="I2" s="41"/>
      <c r="J2" s="1"/>
      <c r="K2" s="1"/>
      <c r="L2" s="41"/>
    </row>
    <row r="3" spans="1:12" ht="12.75">
      <c r="A3" s="1" t="s">
        <v>203</v>
      </c>
      <c r="B3" s="1">
        <v>3.6</v>
      </c>
      <c r="C3" s="41" t="s">
        <v>204</v>
      </c>
      <c r="D3" s="41" t="s">
        <v>205</v>
      </c>
      <c r="E3" s="41" t="s">
        <v>206</v>
      </c>
      <c r="F3" s="41">
        <v>25</v>
      </c>
      <c r="G3" s="41" t="s">
        <v>207</v>
      </c>
      <c r="H3" s="41" t="s">
        <v>208</v>
      </c>
      <c r="I3" s="41" t="s">
        <v>209</v>
      </c>
      <c r="J3" s="42">
        <v>0.1</v>
      </c>
      <c r="K3" s="1" t="s">
        <v>210</v>
      </c>
      <c r="L3" s="41" t="s">
        <v>211</v>
      </c>
    </row>
    <row r="4" spans="1:12" ht="12.75">
      <c r="A4" s="1" t="s">
        <v>212</v>
      </c>
      <c r="B4" s="1">
        <v>1.25</v>
      </c>
      <c r="C4" s="41" t="s">
        <v>213</v>
      </c>
      <c r="D4" s="41" t="s">
        <v>214</v>
      </c>
      <c r="E4" s="41" t="s">
        <v>215</v>
      </c>
      <c r="F4" s="41"/>
      <c r="G4" s="41" t="s">
        <v>216</v>
      </c>
      <c r="H4" s="41"/>
      <c r="I4" s="41">
        <v>1500</v>
      </c>
      <c r="J4" s="42">
        <v>0.2</v>
      </c>
      <c r="K4" s="1" t="s">
        <v>217</v>
      </c>
      <c r="L4" s="41">
        <v>1</v>
      </c>
    </row>
    <row r="5" spans="1:12" ht="12.75">
      <c r="A5" s="1" t="s">
        <v>218</v>
      </c>
      <c r="B5" s="1">
        <v>1.25</v>
      </c>
      <c r="C5" s="41" t="s">
        <v>219</v>
      </c>
      <c r="D5" s="41" t="s">
        <v>220</v>
      </c>
      <c r="E5" s="41" t="s">
        <v>221</v>
      </c>
      <c r="F5" s="41"/>
      <c r="G5" s="41" t="s">
        <v>222</v>
      </c>
      <c r="H5" s="41"/>
      <c r="I5" s="41" t="s">
        <v>223</v>
      </c>
      <c r="J5" s="42">
        <v>0.3</v>
      </c>
      <c r="K5" s="1" t="s">
        <v>224</v>
      </c>
      <c r="L5" s="43" t="s">
        <v>225</v>
      </c>
    </row>
    <row r="6" spans="1:12" ht="12.75">
      <c r="A6" s="1" t="s">
        <v>226</v>
      </c>
      <c r="B6" s="1">
        <v>2</v>
      </c>
      <c r="C6" s="41"/>
      <c r="D6" s="41" t="s">
        <v>227</v>
      </c>
      <c r="E6" s="41" t="s">
        <v>228</v>
      </c>
      <c r="F6" s="41">
        <v>25</v>
      </c>
      <c r="G6" s="41" t="s">
        <v>229</v>
      </c>
      <c r="H6" s="41"/>
      <c r="I6" s="41" t="s">
        <v>230</v>
      </c>
      <c r="J6" s="42">
        <v>0.05</v>
      </c>
      <c r="K6" s="1" t="s">
        <v>231</v>
      </c>
      <c r="L6" s="41" t="s">
        <v>232</v>
      </c>
    </row>
    <row r="7" spans="1:12" ht="12.75">
      <c r="A7" s="1" t="s">
        <v>233</v>
      </c>
      <c r="B7" s="1">
        <v>2</v>
      </c>
      <c r="C7" s="41"/>
      <c r="D7" s="41"/>
      <c r="E7" s="41"/>
      <c r="F7" s="41"/>
      <c r="G7" s="41"/>
      <c r="H7" s="41"/>
      <c r="I7" s="41"/>
      <c r="J7" s="1"/>
      <c r="K7" s="1"/>
      <c r="L7" s="41"/>
    </row>
    <row r="8" spans="1:12" ht="12.75">
      <c r="A8" s="1" t="s">
        <v>234</v>
      </c>
      <c r="D8" s="1"/>
      <c r="E8" s="1"/>
      <c r="F8" s="1"/>
      <c r="H8" s="41"/>
      <c r="J8" s="1"/>
      <c r="K8" s="1"/>
      <c r="L8" s="41"/>
    </row>
    <row r="9" spans="1:12" ht="12.75">
      <c r="A9" s="1" t="s">
        <v>235</v>
      </c>
      <c r="B9" s="1">
        <v>2</v>
      </c>
      <c r="C9" s="41"/>
      <c r="D9" s="41"/>
      <c r="E9" s="41"/>
      <c r="F9" s="41"/>
      <c r="G9" s="41"/>
      <c r="H9" s="41"/>
      <c r="I9" s="41"/>
      <c r="J9" s="1"/>
      <c r="K9" s="1"/>
      <c r="L9" s="41"/>
    </row>
    <row r="10" spans="1:12" ht="12.75">
      <c r="A10" s="1"/>
      <c r="D10" s="1"/>
      <c r="E10" s="1"/>
      <c r="F10" s="1"/>
      <c r="H10" s="41"/>
      <c r="J10" s="1"/>
      <c r="K10" s="1"/>
      <c r="L10" s="41"/>
    </row>
    <row r="11" spans="1:12" ht="12.75">
      <c r="A11" s="1"/>
      <c r="D11" s="3">
        <f>540*2.2</f>
        <v>0</v>
      </c>
      <c r="E11" s="1"/>
      <c r="F11" s="1"/>
      <c r="H11" s="41"/>
      <c r="J11" s="1"/>
      <c r="K11" s="1"/>
      <c r="L11" s="41"/>
    </row>
    <row r="12" spans="1:11" ht="12.75">
      <c r="A12" s="1"/>
      <c r="D12" s="3">
        <f>420*2.2</f>
        <v>0</v>
      </c>
      <c r="E12" s="1"/>
      <c r="F12" s="1"/>
      <c r="J12" s="1"/>
      <c r="K12" s="1"/>
    </row>
    <row r="13" spans="1:11" ht="12.75">
      <c r="A13" s="1"/>
      <c r="D13" s="3">
        <f>19.3*2.2</f>
        <v>0</v>
      </c>
      <c r="E13" s="1"/>
      <c r="F13" s="1"/>
      <c r="J13" s="1"/>
      <c r="K13" s="1"/>
    </row>
    <row r="14" spans="1:11" ht="12.75">
      <c r="A14" s="1"/>
      <c r="D14" s="3">
        <f>-15*2.2</f>
        <v>0</v>
      </c>
      <c r="E14" s="1"/>
      <c r="F14" s="1"/>
      <c r="J14" s="1"/>
      <c r="K14" s="1"/>
    </row>
  </sheetData>
  <printOptions gridLines="1"/>
  <pageMargins left="0.75" right="0.75" top="1" bottom="1" header="0.511811023" footer="0.511811023"/>
  <pageSetup orientation="portrait" paperSize="9"/>
</worksheet>
</file>

<file path=xl/worksheets/sheet4.xml><?xml version="1.0" encoding="utf-8"?>
<worksheet xmlns="http://schemas.openxmlformats.org/spreadsheetml/2006/main" xmlns:r="http://schemas.openxmlformats.org/officeDocument/2006/relationships">
  <dimension ref="A1:G5"/>
  <sheetViews>
    <sheetView workbookViewId="0" topLeftCell="A1">
      <selection activeCell="A1" sqref="A1"/>
    </sheetView>
  </sheetViews>
  <sheetFormatPr defaultColWidth="11.421875" defaultRowHeight="12.75"/>
  <cols>
    <col min="1" max="1" width="18.57421875" style="0" customWidth="1"/>
    <col min="2" max="7" width="9.00390625" style="0" customWidth="1"/>
  </cols>
  <sheetData>
    <row r="1" ht="12.75">
      <c r="A1" s="1"/>
    </row>
    <row r="2" spans="1:5" ht="12.75">
      <c r="A2" s="1"/>
      <c r="B2" s="1" t="s">
        <v>236</v>
      </c>
      <c r="C2" s="1" t="s">
        <v>237</v>
      </c>
      <c r="D2" s="1" t="s">
        <v>238</v>
      </c>
      <c r="E2" s="1" t="s">
        <v>239</v>
      </c>
    </row>
    <row r="3" spans="1:5" ht="12.75">
      <c r="A3" s="1" t="s">
        <v>240</v>
      </c>
      <c r="B3" s="1">
        <v>3.6</v>
      </c>
      <c r="C3" s="1">
        <v>3</v>
      </c>
      <c r="D3" s="3">
        <f>INT(PackVoltage/B3)</f>
        <v>0</v>
      </c>
      <c r="E3" s="3">
        <f>D3*C3</f>
        <v>0</v>
      </c>
    </row>
    <row r="4" spans="1:7" ht="12.75">
      <c r="A4" s="1" t="s">
        <v>241</v>
      </c>
      <c r="C4" s="1">
        <v>0.725</v>
      </c>
      <c r="D4" s="1">
        <v>160</v>
      </c>
      <c r="E4" s="3">
        <f>D4*C4</f>
        <v>0</v>
      </c>
      <c r="G4" s="1">
        <v>2400</v>
      </c>
    </row>
    <row r="5" spans="1:5" ht="12.75">
      <c r="A5" s="1"/>
      <c r="E5" s="3">
        <f>E4+E3</f>
        <v>0</v>
      </c>
    </row>
  </sheetData>
  <printOptions gridLines="1"/>
  <pageMargins left="0.75" right="0.75" top="1" bottom="1" header="0.511811023" footer="0.51181102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